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120" windowWidth="15480" windowHeight="11010"/>
  </bookViews>
  <sheets>
    <sheet name="Годичный календарь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'Годичный календарь'!$E$2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0">'Годичный календарь'!$B$2:$Z$83</definedName>
  </definedNames>
  <calcPr calcId="145621" iterate="1"/>
</workbook>
</file>

<file path=xl/calcChain.xml><?xml version="1.0" encoding="utf-8"?>
<calcChain xmlns="http://schemas.openxmlformats.org/spreadsheetml/2006/main">
  <c r="Q43" i="1" l="1"/>
  <c r="E9" i="1"/>
  <c r="F9" i="1"/>
  <c r="G9" i="1"/>
  <c r="H9" i="1"/>
  <c r="I9" i="1"/>
  <c r="J9" i="1"/>
  <c r="K9" i="1"/>
  <c r="M9" i="1"/>
  <c r="N9" i="1"/>
  <c r="O9" i="1"/>
  <c r="P9" i="1"/>
  <c r="Q9" i="1"/>
  <c r="R9" i="1"/>
  <c r="S9" i="1"/>
  <c r="E10" i="1"/>
  <c r="F10" i="1"/>
  <c r="G10" i="1"/>
  <c r="H10" i="1"/>
  <c r="I10" i="1"/>
  <c r="J10" i="1"/>
  <c r="K10" i="1"/>
  <c r="M10" i="1"/>
  <c r="N10" i="1"/>
  <c r="O10" i="1"/>
  <c r="P10" i="1"/>
  <c r="Q10" i="1"/>
  <c r="R10" i="1"/>
  <c r="S10" i="1"/>
  <c r="E11" i="1"/>
  <c r="F11" i="1"/>
  <c r="G11" i="1"/>
  <c r="H11" i="1"/>
  <c r="I11" i="1"/>
  <c r="J11" i="1"/>
  <c r="K11" i="1"/>
  <c r="M11" i="1"/>
  <c r="N11" i="1"/>
  <c r="O11" i="1"/>
  <c r="P11" i="1"/>
  <c r="Q11" i="1"/>
  <c r="R11" i="1"/>
  <c r="S11" i="1"/>
  <c r="E12" i="1"/>
  <c r="F12" i="1"/>
  <c r="G12" i="1"/>
  <c r="H12" i="1"/>
  <c r="I12" i="1"/>
  <c r="J12" i="1"/>
  <c r="K12" i="1"/>
  <c r="M12" i="1"/>
  <c r="N12" i="1"/>
  <c r="O12" i="1"/>
  <c r="P12" i="1"/>
  <c r="Q12" i="1"/>
  <c r="R12" i="1"/>
  <c r="S12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E17" i="1"/>
  <c r="F17" i="1"/>
  <c r="G17" i="1"/>
  <c r="H17" i="1"/>
  <c r="I17" i="1"/>
  <c r="J17" i="1"/>
  <c r="K17" i="1"/>
  <c r="M17" i="1"/>
  <c r="N17" i="1"/>
  <c r="O17" i="1"/>
  <c r="P17" i="1"/>
  <c r="Q17" i="1"/>
  <c r="R17" i="1"/>
  <c r="S17" i="1"/>
  <c r="E18" i="1"/>
  <c r="F18" i="1"/>
  <c r="G18" i="1"/>
  <c r="H18" i="1"/>
  <c r="I18" i="1"/>
  <c r="J18" i="1"/>
  <c r="K18" i="1"/>
  <c r="M18" i="1"/>
  <c r="N18" i="1"/>
  <c r="O18" i="1"/>
  <c r="P18" i="1"/>
  <c r="Q18" i="1"/>
  <c r="R18" i="1"/>
  <c r="S18" i="1"/>
  <c r="E19" i="1"/>
  <c r="F19" i="1"/>
  <c r="G19" i="1"/>
  <c r="H19" i="1"/>
  <c r="I19" i="1"/>
  <c r="J19" i="1"/>
  <c r="K19" i="1"/>
  <c r="M19" i="1"/>
  <c r="N19" i="1"/>
  <c r="O19" i="1"/>
  <c r="P19" i="1"/>
  <c r="Q19" i="1"/>
  <c r="R19" i="1"/>
  <c r="S19" i="1"/>
  <c r="E20" i="1"/>
  <c r="F20" i="1"/>
  <c r="G20" i="1"/>
  <c r="H20" i="1"/>
  <c r="I20" i="1"/>
  <c r="J20" i="1"/>
  <c r="K20" i="1"/>
  <c r="M20" i="1"/>
  <c r="N20" i="1"/>
  <c r="O20" i="1"/>
  <c r="P20" i="1"/>
  <c r="Q20" i="1"/>
  <c r="R20" i="1"/>
  <c r="S20" i="1"/>
  <c r="E21" i="1"/>
  <c r="F21" i="1"/>
  <c r="G21" i="1"/>
  <c r="H21" i="1"/>
  <c r="I21" i="1"/>
  <c r="J21" i="1"/>
  <c r="K21" i="1"/>
  <c r="M21" i="1"/>
  <c r="N21" i="1"/>
  <c r="O21" i="1"/>
  <c r="P21" i="1"/>
  <c r="Q21" i="1"/>
  <c r="R21" i="1"/>
  <c r="S21" i="1"/>
  <c r="E25" i="1"/>
  <c r="F25" i="1"/>
  <c r="G25" i="1"/>
  <c r="H25" i="1"/>
  <c r="I25" i="1"/>
  <c r="J25" i="1"/>
  <c r="K25" i="1"/>
  <c r="M25" i="1"/>
  <c r="N25" i="1"/>
  <c r="O25" i="1"/>
  <c r="P25" i="1"/>
  <c r="Q25" i="1"/>
  <c r="R25" i="1"/>
  <c r="S25" i="1"/>
  <c r="E26" i="1"/>
  <c r="F26" i="1"/>
  <c r="G26" i="1"/>
  <c r="H26" i="1"/>
  <c r="I26" i="1"/>
  <c r="J26" i="1"/>
  <c r="K26" i="1"/>
  <c r="M26" i="1"/>
  <c r="N26" i="1"/>
  <c r="O26" i="1"/>
  <c r="P26" i="1"/>
  <c r="Q26" i="1"/>
  <c r="R26" i="1"/>
  <c r="S26" i="1"/>
  <c r="E27" i="1"/>
  <c r="F27" i="1"/>
  <c r="G27" i="1"/>
  <c r="H27" i="1"/>
  <c r="I27" i="1"/>
  <c r="J27" i="1"/>
  <c r="K27" i="1"/>
  <c r="M27" i="1"/>
  <c r="N27" i="1"/>
  <c r="O27" i="1"/>
  <c r="P27" i="1"/>
  <c r="Q27" i="1"/>
  <c r="R27" i="1"/>
  <c r="S27" i="1"/>
  <c r="E28" i="1"/>
  <c r="F28" i="1"/>
  <c r="G28" i="1"/>
  <c r="H28" i="1"/>
  <c r="I28" i="1"/>
  <c r="J28" i="1"/>
  <c r="K28" i="1"/>
  <c r="M28" i="1"/>
  <c r="N28" i="1"/>
  <c r="O28" i="1"/>
  <c r="P28" i="1"/>
  <c r="Q28" i="1"/>
  <c r="R28" i="1"/>
  <c r="S28" i="1"/>
  <c r="E29" i="1"/>
  <c r="F29" i="1"/>
  <c r="G29" i="1"/>
  <c r="H29" i="1"/>
  <c r="I29" i="1"/>
  <c r="J29" i="1"/>
  <c r="K29" i="1"/>
  <c r="M29" i="1"/>
  <c r="N29" i="1"/>
  <c r="O29" i="1"/>
  <c r="P29" i="1"/>
  <c r="Q29" i="1"/>
  <c r="R29" i="1"/>
  <c r="S29" i="1"/>
  <c r="E30" i="1"/>
  <c r="F30" i="1"/>
  <c r="G30" i="1"/>
  <c r="H30" i="1"/>
  <c r="I30" i="1"/>
  <c r="J30" i="1"/>
  <c r="K30" i="1"/>
  <c r="M30" i="1"/>
  <c r="N30" i="1"/>
  <c r="O30" i="1"/>
  <c r="P30" i="1"/>
  <c r="Q30" i="1"/>
  <c r="R30" i="1"/>
  <c r="S30" i="1"/>
  <c r="E34" i="1"/>
  <c r="F34" i="1"/>
  <c r="G34" i="1"/>
  <c r="H34" i="1"/>
  <c r="I34" i="1"/>
  <c r="J34" i="1"/>
  <c r="K34" i="1"/>
  <c r="M34" i="1"/>
  <c r="N34" i="1"/>
  <c r="O34" i="1"/>
  <c r="P34" i="1"/>
  <c r="Q34" i="1"/>
  <c r="R34" i="1"/>
  <c r="S34" i="1"/>
  <c r="E35" i="1"/>
  <c r="F35" i="1"/>
  <c r="G35" i="1"/>
  <c r="H35" i="1"/>
  <c r="I35" i="1"/>
  <c r="J35" i="1"/>
  <c r="K35" i="1"/>
  <c r="M35" i="1"/>
  <c r="N35" i="1"/>
  <c r="O35" i="1"/>
  <c r="P35" i="1"/>
  <c r="Q35" i="1"/>
  <c r="R35" i="1"/>
  <c r="S35" i="1"/>
  <c r="E36" i="1"/>
  <c r="F36" i="1"/>
  <c r="G36" i="1"/>
  <c r="H36" i="1"/>
  <c r="I36" i="1"/>
  <c r="J36" i="1"/>
  <c r="K36" i="1"/>
  <c r="M36" i="1"/>
  <c r="N36" i="1"/>
  <c r="O36" i="1"/>
  <c r="P36" i="1"/>
  <c r="Q36" i="1"/>
  <c r="R36" i="1"/>
  <c r="S36" i="1"/>
  <c r="E37" i="1"/>
  <c r="F37" i="1"/>
  <c r="G37" i="1"/>
  <c r="H37" i="1"/>
  <c r="I37" i="1"/>
  <c r="J37" i="1"/>
  <c r="K37" i="1"/>
  <c r="M37" i="1"/>
  <c r="N37" i="1"/>
  <c r="O37" i="1"/>
  <c r="P37" i="1"/>
  <c r="Q37" i="1"/>
  <c r="R37" i="1"/>
  <c r="S37" i="1"/>
  <c r="E38" i="1"/>
  <c r="F38" i="1"/>
  <c r="G38" i="1"/>
  <c r="H38" i="1"/>
  <c r="I38" i="1"/>
  <c r="J38" i="1"/>
  <c r="K38" i="1"/>
  <c r="M38" i="1"/>
  <c r="N38" i="1"/>
  <c r="O38" i="1"/>
  <c r="P38" i="1"/>
  <c r="Q38" i="1"/>
  <c r="R38" i="1"/>
  <c r="S38" i="1"/>
  <c r="E42" i="1"/>
  <c r="F42" i="1"/>
  <c r="G42" i="1"/>
  <c r="H42" i="1"/>
  <c r="I42" i="1"/>
  <c r="J42" i="1"/>
  <c r="K42" i="1"/>
  <c r="M42" i="1"/>
  <c r="N42" i="1"/>
  <c r="O42" i="1"/>
  <c r="P42" i="1"/>
  <c r="Q42" i="1"/>
  <c r="R42" i="1"/>
  <c r="S42" i="1"/>
  <c r="E43" i="1"/>
  <c r="F43" i="1"/>
  <c r="G43" i="1"/>
  <c r="H43" i="1"/>
  <c r="I43" i="1"/>
  <c r="J43" i="1"/>
  <c r="K43" i="1"/>
  <c r="M43" i="1"/>
  <c r="N43" i="1"/>
  <c r="O43" i="1"/>
  <c r="P43" i="1"/>
  <c r="R43" i="1"/>
  <c r="S43" i="1"/>
  <c r="E44" i="1"/>
  <c r="F44" i="1"/>
  <c r="G44" i="1"/>
  <c r="H44" i="1"/>
  <c r="I44" i="1"/>
  <c r="J44" i="1"/>
  <c r="K44" i="1"/>
  <c r="M44" i="1"/>
  <c r="N44" i="1"/>
  <c r="O44" i="1"/>
  <c r="P44" i="1"/>
  <c r="Q44" i="1"/>
  <c r="R44" i="1"/>
  <c r="S44" i="1"/>
  <c r="E45" i="1"/>
  <c r="F45" i="1"/>
  <c r="G45" i="1"/>
  <c r="H45" i="1"/>
  <c r="I45" i="1"/>
  <c r="J45" i="1"/>
  <c r="K45" i="1"/>
  <c r="M45" i="1"/>
  <c r="N45" i="1"/>
  <c r="O45" i="1"/>
  <c r="P45" i="1"/>
  <c r="Q45" i="1"/>
  <c r="R45" i="1"/>
  <c r="S45" i="1"/>
  <c r="E46" i="1"/>
  <c r="F46" i="1"/>
  <c r="G46" i="1"/>
  <c r="H46" i="1"/>
  <c r="I46" i="1"/>
  <c r="J46" i="1"/>
  <c r="K46" i="1"/>
  <c r="M46" i="1"/>
  <c r="N46" i="1"/>
  <c r="O46" i="1"/>
  <c r="P46" i="1"/>
  <c r="Q46" i="1"/>
  <c r="R46" i="1"/>
  <c r="S46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E51" i="1"/>
  <c r="F51" i="1"/>
  <c r="G51" i="1"/>
  <c r="H51" i="1"/>
  <c r="I51" i="1"/>
  <c r="J51" i="1"/>
  <c r="K51" i="1"/>
  <c r="M51" i="1"/>
  <c r="N51" i="1"/>
  <c r="O51" i="1"/>
  <c r="P51" i="1"/>
  <c r="Q51" i="1"/>
  <c r="R51" i="1"/>
  <c r="S51" i="1"/>
  <c r="E52" i="1"/>
  <c r="F52" i="1"/>
  <c r="G52" i="1"/>
  <c r="H52" i="1"/>
  <c r="I52" i="1"/>
  <c r="J52" i="1"/>
  <c r="K52" i="1"/>
  <c r="M52" i="1"/>
  <c r="N52" i="1"/>
  <c r="O52" i="1"/>
  <c r="P52" i="1"/>
  <c r="Q52" i="1"/>
  <c r="R52" i="1"/>
  <c r="S52" i="1"/>
  <c r="E53" i="1"/>
  <c r="F53" i="1"/>
  <c r="G53" i="1"/>
  <c r="H53" i="1"/>
  <c r="I53" i="1"/>
  <c r="J53" i="1"/>
  <c r="K53" i="1"/>
  <c r="M53" i="1"/>
  <c r="N53" i="1"/>
  <c r="O53" i="1"/>
  <c r="P53" i="1"/>
  <c r="Q53" i="1"/>
  <c r="R53" i="1"/>
  <c r="S53" i="1"/>
  <c r="E54" i="1"/>
  <c r="F54" i="1"/>
  <c r="G54" i="1"/>
  <c r="H54" i="1"/>
  <c r="I54" i="1"/>
  <c r="J54" i="1"/>
  <c r="K54" i="1"/>
  <c r="M54" i="1"/>
  <c r="N54" i="1"/>
  <c r="O54" i="1"/>
  <c r="P54" i="1"/>
  <c r="Q54" i="1"/>
  <c r="R54" i="1"/>
  <c r="S54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R59" i="1"/>
  <c r="S59" i="1"/>
</calcChain>
</file>

<file path=xl/sharedStrings.xml><?xml version="1.0" encoding="utf-8"?>
<sst xmlns="http://schemas.openxmlformats.org/spreadsheetml/2006/main" count="185" uniqueCount="91">
  <si>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</si>
  <si>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</si>
  <si>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</si>
  <si>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</si>
  <si>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</si>
  <si>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</si>
  <si>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</si>
  <si>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</si>
  <si>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</si>
  <si>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</si>
  <si>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</si>
  <si>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</si>
  <si>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</si>
  <si>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В</t>
  </si>
  <si>
    <t>С</t>
  </si>
  <si>
    <t>Ч</t>
  </si>
  <si>
    <t>День Управления Проектами в Казахстане</t>
  </si>
  <si>
    <t>(495) 232 11 00</t>
  </si>
  <si>
    <t>www.aace.ru</t>
  </si>
  <si>
    <t>План мероприятий по стоимостному инжинирингу</t>
  </si>
  <si>
    <t>Мероприятия в г. Москва</t>
  </si>
  <si>
    <t>Мероприятия в г. Санкт-Петербург</t>
  </si>
  <si>
    <t>Мероприятия в Казахстане</t>
  </si>
  <si>
    <t>Международные мероприятия</t>
  </si>
  <si>
    <t>GR@aace.ru</t>
  </si>
  <si>
    <t>Российское отделение Международной Ассоциации по развитию стоимостного инжиниринга  
AACE International Greater Russia Section</t>
  </si>
  <si>
    <t>Москва, 119021</t>
  </si>
  <si>
    <t>Р116 Курс для планировщиков</t>
  </si>
  <si>
    <t>S02 "Контрактная стратегия и договорная деятельность"</t>
  </si>
  <si>
    <t>26 - 27 мая, Москва, РОССИЯ</t>
  </si>
  <si>
    <t xml:space="preserve">Ежегодная международная конференция по стоимостному инжинирингу (организатор - </t>
  </si>
  <si>
    <t xml:space="preserve">AACE International), MGM Grand Hotel, Las Vegas, Nevada, USA </t>
  </si>
  <si>
    <t>"Подготовка к сертификации CCP" Dr. Sean T. Regan, CCР/CEP</t>
  </si>
  <si>
    <t>CE001R "Школа стоимостного инженера"</t>
  </si>
  <si>
    <t>СЕ002R "Оценка стоимости проекта"</t>
  </si>
  <si>
    <t>CE003R "Контроль затрат"</t>
  </si>
  <si>
    <t>СЕ004R "Управление на основе методики освоенного объема"</t>
  </si>
  <si>
    <t>14 - 15 апреля, Москва, РОССИЯ</t>
  </si>
  <si>
    <t>Международный опыт "Оценка стоимости проекта"  Dr. Sean T. Regan, CCР/CEP</t>
  </si>
  <si>
    <t>XIV Международная майская Конференция ПМСОФТ</t>
  </si>
  <si>
    <t>23 июня, Москва, РОССИЯ</t>
  </si>
  <si>
    <t>13 - 15 июля, Санкт-Петербург, РОССИЯ</t>
  </si>
  <si>
    <t>27 - 29 июля, Москва, РОССИЯ</t>
  </si>
  <si>
    <t>24 августа Москва, РОССИЯ</t>
  </si>
  <si>
    <t>07 - 09 сентября, Москва, РОССИЯ</t>
  </si>
  <si>
    <t>13 октября, Москва, РОССИЯ</t>
  </si>
  <si>
    <t>20 октября, Алматы, КАЗАХСТАН</t>
  </si>
  <si>
    <t>V Международный Бизнес-Форум по стоимостному инжинирингу</t>
  </si>
  <si>
    <t>21 - 23 ноября Санкт-Петербург, РОССИЯ</t>
  </si>
  <si>
    <t>28 - 30 ноября, Москва, РОССИЯ</t>
  </si>
  <si>
    <t>15 - 16 декабря, Москва, РОССИЯ</t>
  </si>
  <si>
    <t>20 декабря, Москва, РОССИЯ</t>
  </si>
  <si>
    <t>21 - 22 января, Москва, РОССИЯ</t>
  </si>
  <si>
    <t>Открытый семинар "Лучшие практики стоимостного инжиниринга"</t>
  </si>
  <si>
    <t>28 марта Москва, РОССИЯ</t>
  </si>
  <si>
    <t>Н004 "Управление рисками"</t>
  </si>
  <si>
    <t>30-31 марта Москва, РОССИЯ</t>
  </si>
  <si>
    <t>Р116 "Курс для планировщиков"</t>
  </si>
  <si>
    <t>25 мая, Москва, РОССИЯ</t>
  </si>
  <si>
    <t xml:space="preserve">AACE Greater Russia Spring Workshop‐2016 </t>
  </si>
  <si>
    <t>26 февраля, Москва, РОССИЯ</t>
  </si>
  <si>
    <t>29 - 31 марта Москва, РОССИЯ</t>
  </si>
  <si>
    <t>CE001-R "Школа стоимостного инженера"</t>
  </si>
  <si>
    <t>СЕ002-R "Оценка стоимости проекта"</t>
  </si>
  <si>
    <t>CE003-R "Контроль затрат"</t>
  </si>
  <si>
    <t>26 - 27 апреля, Москва, РОССИЯ</t>
  </si>
  <si>
    <t>20 - 22 апреля, Санкт-Петербург, РОССИЯ</t>
  </si>
  <si>
    <t>28-29 апреля, Москва, РОССИЯ</t>
  </si>
  <si>
    <t>Весенний интенсив по стоиомстному инжинирингу. Международный опыт.</t>
  </si>
  <si>
    <t xml:space="preserve">Курсы обучения, мастер-классы, семинары, подготовка к сертификации ССР </t>
  </si>
  <si>
    <t>26  - 29 июня Sheraton Centre Toronto, Toronto, ON, Canada</t>
  </si>
  <si>
    <t>25 - 26 октября, МОСКВА, РОССИЯ</t>
  </si>
  <si>
    <t>27 октября, МОСКВА, РОССИЯ</t>
  </si>
  <si>
    <t xml:space="preserve">Мастер-класс: "Планирование и контроль строительных проектов: кейсы из международной </t>
  </si>
  <si>
    <t>практики", Dr. Sean T. Regan, CCР/CEP</t>
  </si>
  <si>
    <t>28 октября, Москва, РОССИЯ</t>
  </si>
  <si>
    <t>31 октября - 01 ноября, Москва, РОССИЯ</t>
  </si>
  <si>
    <t>02 - 03 ноября, МОСКВА, РОССИЯ</t>
  </si>
  <si>
    <t>День управления проектами ПМСОФТ в СПБ (секция «Стоимостной инжиниринг»)</t>
  </si>
  <si>
    <t>Ведущие асессоры ААСЕ Int. и специальный гость - Джули Оуен, президент ААСЕ Int.</t>
  </si>
  <si>
    <t>04 - 05 августа, Москва, РОССИЯ</t>
  </si>
  <si>
    <r>
      <t xml:space="preserve">02 ДЕКАБРЯ, </t>
    </r>
    <r>
      <rPr>
        <b/>
        <sz val="9"/>
        <color indexed="9"/>
        <rFont val="Calibri"/>
        <family val="2"/>
        <charset val="204"/>
      </rPr>
      <t>Санкт-Петербург</t>
    </r>
    <r>
      <rPr>
        <b/>
        <sz val="8"/>
        <color indexed="9"/>
        <rFont val="Calibri"/>
        <family val="2"/>
        <charset val="204"/>
      </rPr>
      <t>, РОССИЯ</t>
    </r>
  </si>
  <si>
    <t>Международный опыт "Знания и навыки стоимостного инжиниринга", Dr. Sean Regan</t>
  </si>
  <si>
    <t>28 - 30 июня, Москва, РОССИЯ</t>
  </si>
  <si>
    <t>19 - 20 июля, Москва, РОССИЯ</t>
  </si>
  <si>
    <t>21-22 июля, Москва, РОССИЯ</t>
  </si>
  <si>
    <t>04 - 05 октября, Москва, РОССИЯ</t>
  </si>
  <si>
    <t>06 - 07 октября, Москва, РОССИЯ</t>
  </si>
  <si>
    <t>06 - 16 июня, Москва, РОССИЯ</t>
  </si>
  <si>
    <t>05 - 06 июля, Москва, РОССИЯ</t>
  </si>
  <si>
    <t>ул. Россолимо, д. 17, стр.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</si>
</sst>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d"/>
  </numFmts>
  <fonts count="20" x14ac:knownFonts="1"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9"/>
      <name val="Calibri"/>
      <family val="2"/>
      <charset val="204"/>
    </font>
    <font>
      <b/>
      <sz val="9"/>
      <color indexed="9"/>
      <name val="Calibri"/>
      <family val="2"/>
      <charset val="204"/>
    </font>
    <font>
      <b/>
      <sz val="12"/>
      <color theme="1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9.5"/>
      <color rgb="FF027F98"/>
      <name val="Calibri"/>
      <family val="2"/>
      <scheme val="major"/>
    </font>
    <font>
      <b/>
      <sz val="12"/>
      <color rgb="FF027F98"/>
      <name val="Calibri"/>
      <family val="2"/>
      <scheme val="major"/>
    </font>
    <font>
      <b/>
      <sz val="8"/>
      <color rgb="FF027F98"/>
      <name val="Calibri"/>
      <family val="2"/>
      <scheme val="minor"/>
    </font>
    <font>
      <sz val="8"/>
      <color rgb="FF027F98"/>
      <name val="Calibri"/>
      <family val="2"/>
      <scheme val="minor"/>
    </font>
    <font>
      <sz val="9"/>
      <color rgb="FF027F98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9"/>
      <color rgb="FF01455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14553"/>
      <name val="Calibri"/>
      <family val="2"/>
      <charset val="204"/>
      <scheme val="minor"/>
    </font>
    <font>
      <b/>
      <sz val="24"/>
      <color theme="0"/>
      <name val="Calibri"/>
      <family val="2"/>
      <scheme val="major"/>
    </font>
    <font>
      <b/>
      <sz val="20"/>
      <color theme="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27F98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80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80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2" borderId="0" xfId="0" applyFont="1" applyFill="1"/>
    <xf numFmtId="0" fontId="0" fillId="3" borderId="0" xfId="0" applyFont="1" applyFill="1"/>
    <xf numFmtId="0" fontId="5" fillId="3" borderId="0" xfId="0" applyFont="1" applyFill="1"/>
    <xf numFmtId="0" fontId="0" fillId="3" borderId="0" xfId="0" applyFont="1" applyFill="1" applyBorder="1"/>
    <xf numFmtId="180" fontId="0" fillId="3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80" fontId="5" fillId="2" borderId="0" xfId="0" applyNumberFormat="1" applyFont="1" applyFill="1" applyBorder="1" applyAlignment="1">
      <alignment horizontal="center"/>
    </xf>
    <xf numFmtId="180" fontId="5" fillId="4" borderId="0" xfId="0" applyNumberFormat="1" applyFont="1" applyFill="1" applyBorder="1" applyAlignment="1">
      <alignment horizontal="center"/>
    </xf>
    <xf numFmtId="180" fontId="5" fillId="3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4" borderId="0" xfId="0" applyFont="1" applyFill="1"/>
    <xf numFmtId="49" fontId="11" fillId="3" borderId="0" xfId="0" applyNumberFormat="1" applyFont="1" applyFill="1" applyAlignment="1">
      <alignment horizontal="left" vertical="top" wrapText="1"/>
    </xf>
    <xf numFmtId="0" fontId="0" fillId="6" borderId="0" xfId="0" applyFont="1" applyFill="1"/>
    <xf numFmtId="180" fontId="12" fillId="0" borderId="0" xfId="0" applyNumberFormat="1" applyFont="1" applyFill="1" applyBorder="1" applyAlignment="1">
      <alignment horizontal="center"/>
    </xf>
    <xf numFmtId="180" fontId="13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3" borderId="0" xfId="0" applyFont="1" applyFill="1" applyAlignment="1"/>
    <xf numFmtId="49" fontId="14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80" fontId="5" fillId="7" borderId="0" xfId="0" applyNumberFormat="1" applyFont="1" applyFill="1" applyBorder="1" applyAlignment="1">
      <alignment horizontal="center"/>
    </xf>
    <xf numFmtId="180" fontId="5" fillId="5" borderId="0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 wrapText="1"/>
    </xf>
    <xf numFmtId="49" fontId="11" fillId="4" borderId="0" xfId="0" applyNumberFormat="1" applyFont="1" applyFill="1" applyAlignment="1">
      <alignment horizontal="left" vertical="center" wrapText="1"/>
    </xf>
    <xf numFmtId="49" fontId="11" fillId="5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49" fontId="15" fillId="0" borderId="0" xfId="0" applyNumberFormat="1" applyFont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3175</xdr:rowOff>
    </xdr:from>
    <xdr:to>
      <xdr:col>24</xdr:col>
      <xdr:colOff>521667</xdr:colOff>
      <xdr:row>47</xdr:row>
      <xdr:rowOff>3</xdr:rowOff>
    </xdr:to>
    <xdr:pic>
      <xdr:nvPicPr>
        <xdr:cNvPr id="2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/>
        </a:blip>
        <a:srcRect/>
        <a:stretch/>
      </xdr:blipFill>
      <xdr:spPr>
        <a:xfrm>
          <a:off x="8493125" y="628650"/>
          <a:ext cx="523875" cy="5689600"/>
        </a:xfrm>
        <a:prstGeom prst="rect">
          <a:avLst/>
        </a:prstGeom>
      </xdr:spPr>
    </xdr:pic>
    <xdr:clientData/>
  </xdr:twoCellAnchor>
  <xdr:twoCellAnchor>
    <xdr:from>
      <xdr:col>23</xdr:col>
      <xdr:colOff>78105</xdr:colOff>
      <xdr:row>52</xdr:row>
      <xdr:rowOff>0</xdr:rowOff>
    </xdr:from>
    <xdr:to>
      <xdr:col>24</xdr:col>
      <xdr:colOff>521412</xdr:colOff>
      <xdr:row>81</xdr:row>
      <xdr:rowOff>0</xdr:rowOff>
    </xdr:to>
    <xdr:pic>
      <xdr:nvPicPr>
        <xdr:cNvPr id="7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/>
        </a:blip>
        <a:srcRect/>
        <a:stretch/>
      </xdr:blipFill>
      <xdr:spPr>
        <a:xfrm>
          <a:off x="8531225" y="7229475"/>
          <a:ext cx="536575" cy="57245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</xdr:row>
      <xdr:rowOff>19050</xdr:rowOff>
    </xdr:from>
    <xdr:to>
      <xdr:col>19</xdr:col>
      <xdr:colOff>95250</xdr:colOff>
      <xdr:row>5</xdr:row>
      <xdr:rowOff>28575</xdr:rowOff>
    </xdr:to>
    <xdr:pic>
      <xdr:nvPicPr>
        <xdr:cNvPr id="1366" name="Рисунок 8" descr="AACE - Tag  - full color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61975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156595</xdr:colOff>
      <xdr:row>63</xdr:row>
      <xdr:rowOff>3385</xdr:rowOff>
    </xdr:from>
    <xdr:to>
      <xdr:col>14</xdr:col>
      <xdr:colOff>3867</xdr:colOff>
      <xdr:row>70</xdr:row>
      <xdr:rowOff>2116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3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450937" y="9045785"/>
          <a:ext cx="965927" cy="9448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@aac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B2:AR84"/>
  <sheetViews>
    <sheetView showGridLines="0" tabSelected="1" topLeftCell="A37" zoomScaleNormal="100" zoomScaleSheetLayoutView="100" workbookViewId="0">
      <selection activeCell="D76" sqref="D76:T76"/>
    </sheetView>
  </sheetViews>
  <sheetFormatPr defaultColWidth="9.5" defaultRowHeight="11.25" x14ac:dyDescent="0.2"/>
  <cols>
    <col min="1" max="1" width="9.5" style="1"/>
    <col min="2" max="2" width="1.5" style="1" customWidth="1"/>
    <col min="3" max="3" width="1.5" style="27" customWidth="1"/>
    <col min="4" max="4" width="3.6640625" style="1" customWidth="1"/>
    <col min="5" max="8" width="2.83203125" style="1" customWidth="1"/>
    <col min="9" max="9" width="3.6640625" style="1" customWidth="1"/>
    <col min="10" max="19" width="2.83203125" style="1" customWidth="1"/>
    <col min="20" max="20" width="2.1640625" style="1" customWidth="1"/>
    <col min="21" max="21" width="1.1640625" style="1" customWidth="1"/>
    <col min="22" max="22" width="3.5" customWidth="1"/>
    <col min="23" max="23" width="84" style="31" customWidth="1"/>
    <col min="24" max="24" width="1.5" style="1" customWidth="1"/>
    <col min="25" max="25" width="9.5" style="1" customWidth="1"/>
    <col min="26" max="26" width="2.5" style="1" customWidth="1"/>
    <col min="27" max="46" width="9.5" style="1" customWidth="1"/>
    <col min="47" max="16384" width="9.5" style="1"/>
  </cols>
  <sheetData>
    <row r="2" spans="2:44" ht="31.5" x14ac:dyDescent="0.2">
      <c r="B2" s="9"/>
      <c r="C2" s="9"/>
      <c r="D2" s="9"/>
      <c r="E2" s="48">
        <v>2016</v>
      </c>
      <c r="F2" s="48"/>
      <c r="G2" s="48"/>
      <c r="H2" s="48"/>
      <c r="I2" s="48"/>
      <c r="J2" s="9"/>
      <c r="K2" s="49" t="s">
        <v>19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8"/>
      <c r="Z2" s="8"/>
      <c r="AA2"/>
      <c r="AB2"/>
      <c r="AC2"/>
    </row>
    <row r="3" spans="2:44" x14ac:dyDescent="0.2">
      <c r="B3" s="8"/>
      <c r="C3" s="8"/>
      <c r="U3" s="8"/>
      <c r="V3" s="1"/>
      <c r="W3" s="30"/>
      <c r="Z3" s="8"/>
      <c r="AA3"/>
      <c r="AB3"/>
      <c r="AC3"/>
    </row>
    <row r="4" spans="2:44" x14ac:dyDescent="0.2">
      <c r="B4" s="8"/>
      <c r="C4" s="8"/>
      <c r="U4" s="8"/>
      <c r="W4" s="42" t="s">
        <v>52</v>
      </c>
      <c r="Z4" s="8"/>
    </row>
    <row r="5" spans="2:44" ht="12" x14ac:dyDescent="0.2">
      <c r="B5" s="8"/>
      <c r="C5" s="8"/>
      <c r="U5" s="10"/>
      <c r="W5" s="40" t="s">
        <v>34</v>
      </c>
      <c r="X5" s="2"/>
      <c r="Y5" s="2"/>
      <c r="Z5" s="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2:44" x14ac:dyDescent="0.2">
      <c r="B6" s="8"/>
      <c r="C6" s="8"/>
      <c r="U6" s="8"/>
      <c r="W6" s="42" t="s">
        <v>60</v>
      </c>
      <c r="Z6" s="8"/>
    </row>
    <row r="7" spans="2:44" ht="15.75" x14ac:dyDescent="0.25">
      <c r="B7" s="8"/>
      <c r="C7" s="8"/>
      <c r="E7" s="12" t="s">
        <v>0</v>
      </c>
      <c r="F7" s="13"/>
      <c r="G7" s="13"/>
      <c r="H7" s="13"/>
      <c r="I7" s="13"/>
      <c r="J7" s="13"/>
      <c r="K7" s="13"/>
      <c r="L7" s="13"/>
      <c r="M7" s="14" t="s">
        <v>1</v>
      </c>
      <c r="N7" s="13"/>
      <c r="O7" s="13"/>
      <c r="P7" s="13"/>
      <c r="Q7" s="13"/>
      <c r="R7" s="13"/>
      <c r="S7" s="13"/>
      <c r="U7" s="10"/>
      <c r="W7" s="40" t="s">
        <v>53</v>
      </c>
      <c r="X7" s="2"/>
      <c r="Y7" s="2"/>
      <c r="Z7" s="8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2:44" x14ac:dyDescent="0.2">
      <c r="B8" s="8"/>
      <c r="C8" s="8"/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12</v>
      </c>
      <c r="J8" s="15" t="s">
        <v>14</v>
      </c>
      <c r="K8" s="15" t="s">
        <v>13</v>
      </c>
      <c r="L8" s="16"/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12</v>
      </c>
      <c r="R8" s="15" t="s">
        <v>14</v>
      </c>
      <c r="S8" s="15" t="s">
        <v>13</v>
      </c>
      <c r="U8" s="8"/>
      <c r="W8" s="42" t="s">
        <v>54</v>
      </c>
      <c r="Z8" s="8"/>
      <c r="AB8" s="2"/>
      <c r="AJ8" s="2"/>
      <c r="AR8" s="2"/>
    </row>
    <row r="9" spans="2:44" ht="12" x14ac:dyDescent="0.2">
      <c r="B9" s="8"/>
      <c r="C9" s="8"/>
      <c r="E9" s="5" t="str">
        <f>IF(DAY(JanSun1)=1,"",IF(AND(YEAR(JanSun1+1)=CalendarYear,MONTH(JanSun1+1)=1),JanSun1+1,""))</f>
        <v/>
      </c>
      <c r="F9" s="5" t="str">
        <f>IF(DAY(JanSun1)=1,"",IF(AND(YEAR(JanSun1+2)=CalendarYear,MONTH(JanSun1+2)=1),JanSun1+2,""))</f>
        <v/>
      </c>
      <c r="G9" s="5" t="str">
        <f>IF(DAY(JanSun1)=1,"",IF(AND(YEAR(JanSun1+3)=CalendarYear,MONTH(JanSun1+3)=1),JanSun1+3,""))</f>
        <v/>
      </c>
      <c r="H9" s="5" t="str">
        <f>IF(DAY(JanSun1)=1,"",IF(AND(YEAR(JanSun1+4)=CalendarYear,MONTH(JanSun1+4)=1),JanSun1+4,""))</f>
        <v/>
      </c>
      <c r="I9" s="5">
        <f>IF(DAY(JanSun1)=1,"",IF(AND(YEAR(JanSun1+5)=CalendarYear,MONTH(JanSun1+5)=1),JanSun1+5,""))</f>
        <v>42370</v>
      </c>
      <c r="J9" s="5">
        <f>IF(DAY(JanSun1)=1,"",IF(AND(YEAR(JanSun1+6)=CalendarYear,MONTH(JanSun1+6)=1),JanSun1+6,""))</f>
        <v>42371</v>
      </c>
      <c r="K9" s="5">
        <f>IF(DAY(JanSun1)=1,IF(AND(YEAR(JanSun1)=CalendarYear,MONTH(JanSun1)=1),JanSun1,""),IF(AND(YEAR(JanSun1+7)=CalendarYear,MONTH(JanSun1+7)=1),JanSun1+7,""))</f>
        <v>42372</v>
      </c>
      <c r="L9" s="5"/>
      <c r="M9" s="5">
        <f>IF(DAY(FebSun1)=1,"",IF(AND(YEAR(FebSun1+1)=CalendarYear,MONTH(FebSun1+1)=2),FebSun1+1,""))</f>
        <v>42401</v>
      </c>
      <c r="N9" s="5">
        <f>IF(DAY(FebSun1)=1,"",IF(AND(YEAR(FebSun1+2)=CalendarYear,MONTH(FebSun1+2)=2),FebSun1+2,""))</f>
        <v>42402</v>
      </c>
      <c r="O9" s="5">
        <f>IF(DAY(FebSun1)=1,"",IF(AND(YEAR(FebSun1+3)=CalendarYear,MONTH(FebSun1+3)=2),FebSun1+3,""))</f>
        <v>42403</v>
      </c>
      <c r="P9" s="5">
        <f>IF(DAY(FebSun1)=1,"",IF(AND(YEAR(FebSun1+4)=CalendarYear,MONTH(FebSun1+4)=2),FebSun1+4,""))</f>
        <v>42404</v>
      </c>
      <c r="Q9" s="5">
        <f>IF(DAY(FebSun1)=1,"",IF(AND(YEAR(FebSun1+5)=CalendarYear,MONTH(FebSun1+5)=2),FebSun1+5,""))</f>
        <v>42405</v>
      </c>
      <c r="R9" s="5">
        <f>IF(DAY(FebSun1)=1,"",IF(AND(YEAR(FebSun1+6)=CalendarYear,MONTH(FebSun1+6)=2),FebSun1+6,""))</f>
        <v>42406</v>
      </c>
      <c r="S9" s="5">
        <f>IF(DAY(FebSun1)=1,IF(AND(YEAR(FebSun1)=CalendarYear,MONTH(FebSun1)=2),FebSun1,""),IF(AND(YEAR(FebSun1+7)=CalendarYear,MONTH(FebSun1+7)=2),FebSun1+7,""))</f>
        <v>42407</v>
      </c>
      <c r="T9" s="2"/>
      <c r="U9" s="8"/>
      <c r="W9" s="40" t="s">
        <v>55</v>
      </c>
      <c r="Z9" s="8"/>
      <c r="AB9" s="2"/>
      <c r="AJ9" s="2"/>
      <c r="AR9" s="2"/>
    </row>
    <row r="10" spans="2:44" ht="11.25" customHeight="1" x14ac:dyDescent="0.2">
      <c r="B10" s="8"/>
      <c r="C10" s="8"/>
      <c r="D10" s="2"/>
      <c r="E10" s="5">
        <f>IF(DAY(JanSun1)=1,IF(AND(YEAR(JanSun1+1)=CalendarYear,MONTH(JanSun1+1)=1),JanSun1+1,""),IF(AND(YEAR(JanSun1+8)=CalendarYear,MONTH(JanSun1+8)=1),JanSun1+8,""))</f>
        <v>42373</v>
      </c>
      <c r="F10" s="5">
        <f>IF(DAY(JanSun1)=1,IF(AND(YEAR(JanSun1+2)=CalendarYear,MONTH(JanSun1+2)=1),JanSun1+2,""),IF(AND(YEAR(JanSun1+9)=CalendarYear,MONTH(JanSun1+9)=1),JanSun1+9,""))</f>
        <v>42374</v>
      </c>
      <c r="G10" s="5">
        <f>IF(DAY(JanSun1)=1,IF(AND(YEAR(JanSun1+3)=CalendarYear,MONTH(JanSun1+3)=1),JanSun1+3,""),IF(AND(YEAR(JanSun1+10)=CalendarYear,MONTH(JanSun1+10)=1),JanSun1+10,""))</f>
        <v>42375</v>
      </c>
      <c r="H10" s="5">
        <f>IF(DAY(JanSun1)=1,IF(AND(YEAR(JanSun1+4)=CalendarYear,MONTH(JanSun1+4)=1),JanSun1+4,""),IF(AND(YEAR(JanSun1+11)=CalendarYear,MONTH(JanSun1+11)=1),JanSun1+11,""))</f>
        <v>42376</v>
      </c>
      <c r="I10" s="5">
        <f>IF(DAY(JanSun1)=1,IF(AND(YEAR(JanSun1+5)=CalendarYear,MONTH(JanSun1+5)=1),JanSun1+5,""),IF(AND(YEAR(JanSun1+12)=CalendarYear,MONTH(JanSun1+12)=1),JanSun1+12,""))</f>
        <v>42377</v>
      </c>
      <c r="J10" s="5">
        <f>IF(DAY(JanSun1)=1,IF(AND(YEAR(JanSun1+6)=CalendarYear,MONTH(JanSun1+6)=1),JanSun1+6,""),IF(AND(YEAR(JanSun1+13)=CalendarYear,MONTH(JanSun1+13)=1),JanSun1+13,""))</f>
        <v>42378</v>
      </c>
      <c r="K10" s="5">
        <f>IF(DAY(JanSun1)=1,IF(AND(YEAR(JanSun1+7)=CalendarYear,MONTH(JanSun1+7)=1),JanSun1+7,""),IF(AND(YEAR(JanSun1+14)=CalendarYear,MONTH(JanSun1+14)=1),JanSun1+14,""))</f>
        <v>42379</v>
      </c>
      <c r="L10" s="5"/>
      <c r="M10" s="5">
        <f>IF(DAY(FebSun1)=1,IF(AND(YEAR(FebSun1+1)=CalendarYear,MONTH(FebSun1+1)=2),FebSun1+1,""),IF(AND(YEAR(FebSun1+8)=CalendarYear,MONTH(FebSun1+8)=2),FebSun1+8,""))</f>
        <v>42408</v>
      </c>
      <c r="N10" s="5">
        <f>IF(DAY(FebSun1)=1,IF(AND(YEAR(FebSun1+2)=CalendarYear,MONTH(FebSun1+2)=2),FebSun1+2,""),IF(AND(YEAR(FebSun1+9)=CalendarYear,MONTH(FebSun1+9)=2),FebSun1+9,""))</f>
        <v>42409</v>
      </c>
      <c r="O10" s="5">
        <f>IF(DAY(FebSun1)=1,IF(AND(YEAR(FebSun1+3)=CalendarYear,MONTH(FebSun1+3)=2),FebSun1+3,""),IF(AND(YEAR(FebSun1+10)=CalendarYear,MONTH(FebSun1+10)=2),FebSun1+10,""))</f>
        <v>42410</v>
      </c>
      <c r="P10" s="5">
        <f>IF(DAY(FebSun1)=1,IF(AND(YEAR(FebSun1+4)=CalendarYear,MONTH(FebSun1+4)=2),FebSun1+4,""),IF(AND(YEAR(FebSun1+11)=CalendarYear,MONTH(FebSun1+11)=2),FebSun1+11,""))</f>
        <v>42411</v>
      </c>
      <c r="Q10" s="5">
        <f>IF(DAY(FebSun1)=1,IF(AND(YEAR(FebSun1+5)=CalendarYear,MONTH(FebSun1+5)=2),FebSun1+5,""),IF(AND(YEAR(FebSun1+12)=CalendarYear,MONTH(FebSun1+12)=2),FebSun1+12,""))</f>
        <v>42412</v>
      </c>
      <c r="R10" s="5">
        <f>IF(DAY(FebSun1)=1,IF(AND(YEAR(FebSun1+6)=CalendarYear,MONTH(FebSun1+6)=2),FebSun1+6,""),IF(AND(YEAR(FebSun1+13)=CalendarYear,MONTH(FebSun1+13)=2),FebSun1+13,""))</f>
        <v>42413</v>
      </c>
      <c r="S10" s="5">
        <f>IF(DAY(FebSun1)=1,IF(AND(YEAR(FebSun1+7)=CalendarYear,MONTH(FebSun1+7)=2),FebSun1+7,""),IF(AND(YEAR(FebSun1+14)=CalendarYear,MONTH(FebSun1+14)=2),FebSun1+14,""))</f>
        <v>42414</v>
      </c>
      <c r="T10" s="2"/>
      <c r="U10" s="8"/>
      <c r="W10" s="42" t="s">
        <v>61</v>
      </c>
      <c r="Z10" s="8"/>
      <c r="AB10" s="2"/>
      <c r="AJ10" s="2"/>
      <c r="AR10" s="2"/>
    </row>
    <row r="11" spans="2:44" ht="12.6" customHeight="1" x14ac:dyDescent="0.2">
      <c r="B11" s="8"/>
      <c r="C11" s="8"/>
      <c r="D11" s="2"/>
      <c r="E11" s="5">
        <f>IF(DAY(JanSun1)=1,IF(AND(YEAR(JanSun1+8)=CalendarYear,MONTH(JanSun1+8)=1),JanSun1+8,""),IF(AND(YEAR(JanSun1+15)=CalendarYear,MONTH(JanSun1+15)=1),JanSun1+15,""))</f>
        <v>42380</v>
      </c>
      <c r="F11" s="5">
        <f>IF(DAY(JanSun1)=1,IF(AND(YEAR(JanSun1+9)=CalendarYear,MONTH(JanSun1+9)=1),JanSun1+9,""),IF(AND(YEAR(JanSun1+16)=CalendarYear,MONTH(JanSun1+16)=1),JanSun1+16,""))</f>
        <v>42381</v>
      </c>
      <c r="G11" s="5">
        <f>IF(DAY(JanSun1)=1,IF(AND(YEAR(JanSun1+10)=CalendarYear,MONTH(JanSun1+10)=1),JanSun1+10,""),IF(AND(YEAR(JanSun1+17)=CalendarYear,MONTH(JanSun1+17)=1),JanSun1+17,""))</f>
        <v>42382</v>
      </c>
      <c r="H11" s="5">
        <f>IF(DAY(JanSun1)=1,IF(AND(YEAR(JanSun1+11)=CalendarYear,MONTH(JanSun1+11)=1),JanSun1+11,""),IF(AND(YEAR(JanSun1+18)=CalendarYear,MONTH(JanSun1+18)=1),JanSun1+18,""))</f>
        <v>42383</v>
      </c>
      <c r="I11" s="5">
        <f>IF(DAY(JanSun1)=1,IF(AND(YEAR(JanSun1+12)=CalendarYear,MONTH(JanSun1+12)=1),JanSun1+12,""),IF(AND(YEAR(JanSun1+19)=CalendarYear,MONTH(JanSun1+19)=1),JanSun1+19,""))</f>
        <v>42384</v>
      </c>
      <c r="J11" s="5">
        <f>IF(DAY(JanSun1)=1,IF(AND(YEAR(JanSun1+13)=CalendarYear,MONTH(JanSun1+13)=1),JanSun1+13,""),IF(AND(YEAR(JanSun1+20)=CalendarYear,MONTH(JanSun1+20)=1),JanSun1+20,""))</f>
        <v>42385</v>
      </c>
      <c r="K11" s="5">
        <f>IF(DAY(JanSun1)=1,IF(AND(YEAR(JanSun1+14)=CalendarYear,MONTH(JanSun1+14)=1),JanSun1+14,""),IF(AND(YEAR(JanSun1+21)=CalendarYear,MONTH(JanSun1+21)=1),JanSun1+21,""))</f>
        <v>42386</v>
      </c>
      <c r="L11" s="5"/>
      <c r="M11" s="5">
        <f>IF(DAY(FebSun1)=1,IF(AND(YEAR(FebSun1+8)=CalendarYear,MONTH(FebSun1+8)=2),FebSun1+8,""),IF(AND(YEAR(FebSun1+15)=CalendarYear,MONTH(FebSun1+15)=2),FebSun1+15,""))</f>
        <v>42415</v>
      </c>
      <c r="N11" s="5">
        <f>IF(DAY(FebSun1)=1,IF(AND(YEAR(FebSun1+9)=CalendarYear,MONTH(FebSun1+9)=2),FebSun1+9,""),IF(AND(YEAR(FebSun1+16)=CalendarYear,MONTH(FebSun1+16)=2),FebSun1+16,""))</f>
        <v>42416</v>
      </c>
      <c r="O11" s="28">
        <f>IF(DAY(FebSun1)=1,IF(AND(YEAR(FebSun1+10)=CalendarYear,MONTH(FebSun1+10)=2),FebSun1+10,""),IF(AND(YEAR(FebSun1+17)=CalendarYear,MONTH(FebSun1+17)=2),FebSun1+17,""))</f>
        <v>42417</v>
      </c>
      <c r="P11" s="28">
        <f>IF(DAY(FebSun1)=1,IF(AND(YEAR(FebSun1+11)=CalendarYear,MONTH(FebSun1+11)=2),FebSun1+11,""),IF(AND(YEAR(FebSun1+18)=CalendarYear,MONTH(FebSun1+18)=2),FebSun1+18,""))</f>
        <v>42418</v>
      </c>
      <c r="Q11" s="28">
        <f>IF(DAY(FebSun1)=1,IF(AND(YEAR(FebSun1+12)=CalendarYear,MONTH(FebSun1+12)=2),FebSun1+12,""),IF(AND(YEAR(FebSun1+19)=CalendarYear,MONTH(FebSun1+19)=2),FebSun1+19,""))</f>
        <v>42419</v>
      </c>
      <c r="R11" s="5">
        <f>IF(DAY(FebSun1)=1,IF(AND(YEAR(FebSun1+13)=CalendarYear,MONTH(FebSun1+13)=2),FebSun1+13,""),IF(AND(YEAR(FebSun1+20)=CalendarYear,MONTH(FebSun1+20)=2),FebSun1+20,""))</f>
        <v>42420</v>
      </c>
      <c r="S11" s="5">
        <f>IF(DAY(FebSun1)=1,IF(AND(YEAR(FebSun1+14)=CalendarYear,MONTH(FebSun1+14)=2),FebSun1+14,""),IF(AND(YEAR(FebSun1+21)=CalendarYear,MONTH(FebSun1+21)=2),FebSun1+21,""))</f>
        <v>42421</v>
      </c>
      <c r="T11" s="2"/>
      <c r="U11" s="8"/>
      <c r="W11" s="40" t="s">
        <v>62</v>
      </c>
      <c r="Z11" s="8"/>
      <c r="AB11" s="2"/>
      <c r="AJ11" s="2"/>
      <c r="AR11" s="2"/>
    </row>
    <row r="12" spans="2:44" ht="9.6" customHeight="1" x14ac:dyDescent="0.2">
      <c r="B12" s="8"/>
      <c r="C12" s="8"/>
      <c r="D12" s="2"/>
      <c r="E12" s="5">
        <f>IF(DAY(JanSun1)=1,IF(AND(YEAR(JanSun1+15)=CalendarYear,MONTH(JanSun1+15)=1),JanSun1+15,""),IF(AND(YEAR(JanSun1+22)=CalendarYear,MONTH(JanSun1+22)=1),JanSun1+22,""))</f>
        <v>42387</v>
      </c>
      <c r="F12" s="5">
        <f>IF(DAY(JanSun1)=1,IF(AND(YEAR(JanSun1+16)=CalendarYear,MONTH(JanSun1+16)=1),JanSun1+16,""),IF(AND(YEAR(JanSun1+23)=CalendarYear,MONTH(JanSun1+23)=1),JanSun1+23,""))</f>
        <v>42388</v>
      </c>
      <c r="G12" s="5">
        <f>IF(DAY(JanSun1)=1,IF(AND(YEAR(JanSun1+17)=CalendarYear,MONTH(JanSun1+17)=1),JanSun1+17,""),IF(AND(YEAR(JanSun1+24)=CalendarYear,MONTH(JanSun1+24)=1),JanSun1+24,""))</f>
        <v>42389</v>
      </c>
      <c r="H12" s="37">
        <f>IF(DAY(JanSun1)=1,IF(AND(YEAR(JanSun1+18)=CalendarYear,MONTH(JanSun1+18)=1),JanSun1+18,""),IF(AND(YEAR(JanSun1+25)=CalendarYear,MONTH(JanSun1+25)=1),JanSun1+25,""))</f>
        <v>42390</v>
      </c>
      <c r="I12" s="37">
        <f>IF(DAY(JanSun1)=1,IF(AND(YEAR(JanSun1+19)=CalendarYear,MONTH(JanSun1+19)=1),JanSun1+19,""),IF(AND(YEAR(JanSun1+26)=CalendarYear,MONTH(JanSun1+26)=1),JanSun1+26,""))</f>
        <v>42391</v>
      </c>
      <c r="J12" s="5">
        <f>IF(DAY(JanSun1)=1,IF(AND(YEAR(JanSun1+20)=CalendarYear,MONTH(JanSun1+20)=1),JanSun1+20,""),IF(AND(YEAR(JanSun1+27)=CalendarYear,MONTH(JanSun1+27)=1),JanSun1+27,""))</f>
        <v>42392</v>
      </c>
      <c r="K12" s="5">
        <f>IF(DAY(JanSun1)=1,IF(AND(YEAR(JanSun1+21)=CalendarYear,MONTH(JanSun1+21)=1),JanSun1+21,""),IF(AND(YEAR(JanSun1+28)=CalendarYear,MONTH(JanSun1+28)=1),JanSun1+28,""))</f>
        <v>42393</v>
      </c>
      <c r="L12" s="5"/>
      <c r="M12" s="5">
        <f>IF(DAY(FebSun1)=1,IF(AND(YEAR(FebSun1+15)=CalendarYear,MONTH(FebSun1+15)=2),FebSun1+15,""),IF(AND(YEAR(FebSun1+22)=CalendarYear,MONTH(FebSun1+22)=2),FebSun1+22,""))</f>
        <v>42422</v>
      </c>
      <c r="N12" s="5">
        <f>IF(DAY(FebSun1)=1,IF(AND(YEAR(FebSun1+16)=CalendarYear,MONTH(FebSun1+16)=2),FebSun1+16,""),IF(AND(YEAR(FebSun1+23)=CalendarYear,MONTH(FebSun1+23)=2),FebSun1+23,""))</f>
        <v>42423</v>
      </c>
      <c r="O12" s="28">
        <f>IF(DAY(FebSun1)=1,IF(AND(YEAR(FebSun1+17)=CalendarYear,MONTH(FebSun1+17)=2),FebSun1+17,""),IF(AND(YEAR(FebSun1+24)=CalendarYear,MONTH(FebSun1+24)=2),FebSun1+24,""))</f>
        <v>42424</v>
      </c>
      <c r="P12" s="28">
        <f>IF(DAY(FebSun1)=1,IF(AND(YEAR(FebSun1+18)=CalendarYear,MONTH(FebSun1+18)=2),FebSun1+18,""),IF(AND(YEAR(FebSun1+25)=CalendarYear,MONTH(FebSun1+25)=2),FebSun1+25,""))</f>
        <v>42425</v>
      </c>
      <c r="Q12" s="21">
        <f>IF(DAY(FebSun1)=1,IF(AND(YEAR(FebSun1+19)=CalendarYear,MONTH(FebSun1+19)=2),FebSun1+19,""),IF(AND(YEAR(FebSun1+26)=CalendarYear,MONTH(FebSun1+26)=2),FebSun1+26,""))</f>
        <v>42426</v>
      </c>
      <c r="R12" s="5">
        <f>IF(DAY(FebSun1)=1,IF(AND(YEAR(FebSun1+20)=CalendarYear,MONTH(FebSun1+20)=2),FebSun1+20,""),IF(AND(YEAR(FebSun1+27)=CalendarYear,MONTH(FebSun1+27)=2),FebSun1+27,""))</f>
        <v>42427</v>
      </c>
      <c r="S12" s="5">
        <f>IF(DAY(FebSun1)=1,IF(AND(YEAR(FebSun1+21)=CalendarYear,MONTH(FebSun1+21)=2),FebSun1+21,""),IF(AND(YEAR(FebSun1+28)=CalendarYear,MONTH(FebSun1+28)=2),FebSun1+28,""))</f>
        <v>42428</v>
      </c>
      <c r="T12" s="2"/>
      <c r="U12" s="8"/>
      <c r="W12" s="42" t="s">
        <v>56</v>
      </c>
      <c r="Z12" s="8"/>
      <c r="AB12" s="2"/>
      <c r="AJ12" s="2"/>
      <c r="AR12" s="2"/>
    </row>
    <row r="13" spans="2:44" ht="9.6" customHeight="1" x14ac:dyDescent="0.2">
      <c r="B13" s="8"/>
      <c r="C13" s="8"/>
      <c r="D13" s="2"/>
      <c r="E13" s="5">
        <f>IF(DAY(JanSun1)=1,IF(AND(YEAR(JanSun1+22)=CalendarYear,MONTH(JanSun1+22)=1),JanSun1+22,""),IF(AND(YEAR(JanSun1+29)=CalendarYear,MONTH(JanSun1+29)=1),JanSun1+29,""))</f>
        <v>42394</v>
      </c>
      <c r="F13" s="5">
        <f>IF(DAY(JanSun1)=1,IF(AND(YEAR(JanSun1+23)=CalendarYear,MONTH(JanSun1+23)=1),JanSun1+23,""),IF(AND(YEAR(JanSun1+30)=CalendarYear,MONTH(JanSun1+30)=1),JanSun1+30,""))</f>
        <v>42395</v>
      </c>
      <c r="G13" s="5">
        <f>IF(DAY(JanSun1)=1,IF(AND(YEAR(JanSun1+24)=CalendarYear,MONTH(JanSun1+24)=1),JanSun1+24,""),IF(AND(YEAR(JanSun1+31)=CalendarYear,MONTH(JanSun1+31)=1),JanSun1+31,""))</f>
        <v>42396</v>
      </c>
      <c r="H13" s="5">
        <f>IF(DAY(JanSun1)=1,IF(AND(YEAR(JanSun1+25)=CalendarYear,MONTH(JanSun1+25)=1),JanSun1+25,""),IF(AND(YEAR(JanSun1+32)=CalendarYear,MONTH(JanSun1+32)=1),JanSun1+32,""))</f>
        <v>42397</v>
      </c>
      <c r="I13" s="5">
        <f>IF(DAY(JanSun1)=1,IF(AND(YEAR(JanSun1+26)=CalendarYear,MONTH(JanSun1+26)=1),JanSun1+26,""),IF(AND(YEAR(JanSun1+33)=CalendarYear,MONTH(JanSun1+33)=1),JanSun1+33,""))</f>
        <v>42398</v>
      </c>
      <c r="J13" s="5">
        <f>IF(DAY(JanSun1)=1,IF(AND(YEAR(JanSun1+27)=CalendarYear,MONTH(JanSun1+27)=1),JanSun1+27,""),IF(AND(YEAR(JanSun1+34)=CalendarYear,MONTH(JanSun1+34)=1),JanSun1+34,""))</f>
        <v>42399</v>
      </c>
      <c r="K13" s="5">
        <f>IF(DAY(JanSun1)=1,IF(AND(YEAR(JanSun1+28)=CalendarYear,MONTH(JanSun1+28)=1),JanSun1+28,""),IF(AND(YEAR(JanSun1+35)=CalendarYear,MONTH(JanSun1+35)=1),JanSun1+35,""))</f>
        <v>42400</v>
      </c>
      <c r="L13" s="5"/>
      <c r="M13" s="28">
        <f>IF(DAY(FebSun1)=1,IF(AND(YEAR(FebSun1+22)=CalendarYear,MONTH(FebSun1+22)=2),FebSun1+22,""),IF(AND(YEAR(FebSun1+29)=CalendarYear,MONTH(FebSun1+29)=2),FebSun1+29,""))</f>
        <v>42429</v>
      </c>
      <c r="N13" s="28" t="str">
        <f>IF(DAY(FebSun1)=1,IF(AND(YEAR(FebSun1+23)=CalendarYear,MONTH(FebSun1+23)=2),FebSun1+23,""),IF(AND(YEAR(FebSun1+30)=CalendarYear,MONTH(FebSun1+30)=2),FebSun1+30,""))</f>
        <v/>
      </c>
      <c r="O13" s="28" t="str">
        <f>IF(DAY(FebSun1)=1,IF(AND(YEAR(FebSun1+24)=CalendarYear,MONTH(FebSun1+24)=2),FebSun1+24,""),IF(AND(YEAR(FebSun1+31)=CalendarYear,MONTH(FebSun1+31)=2),FebSun1+31,""))</f>
        <v/>
      </c>
      <c r="P13" s="28" t="str">
        <f>IF(DAY(FebSun1)=1,IF(AND(YEAR(FebSun1+25)=CalendarYear,MONTH(FebSun1+25)=2),FebSun1+25,""),IF(AND(YEAR(FebSun1+32)=CalendarYear,MONTH(FebSun1+32)=2),FebSun1+32,""))</f>
        <v/>
      </c>
      <c r="Q13" s="28" t="str">
        <f>IF(DAY(FebSun1)=1,IF(AND(YEAR(FebSun1+26)=CalendarYear,MONTH(FebSun1+26)=2),FebSun1+26,""),IF(AND(YEAR(FebSun1+33)=CalendarYear,MONTH(FebSun1+33)=2),FebSun1+33,""))</f>
        <v/>
      </c>
      <c r="R13" s="5" t="str">
        <f>IF(DAY(FebSun1)=1,IF(AND(YEAR(FebSun1+27)=CalendarYear,MONTH(FebSun1+27)=2),FebSun1+27,""),IF(AND(YEAR(FebSun1+34)=CalendarYear,MONTH(FebSun1+34)=2),FebSun1+34,""))</f>
        <v/>
      </c>
      <c r="S13" s="5" t="str">
        <f>IF(DAY(FebSun1)=1,IF(AND(YEAR(FebSun1+28)=CalendarYear,MONTH(FebSun1+28)=2),FebSun1+28,""),IF(AND(YEAR(FebSun1+35)=CalendarYear,MONTH(FebSun1+35)=2),FebSun1+35,""))</f>
        <v/>
      </c>
      <c r="T13" s="2"/>
      <c r="U13" s="8"/>
      <c r="W13" s="40" t="s">
        <v>57</v>
      </c>
      <c r="Z13" s="8"/>
      <c r="AB13" s="2"/>
      <c r="AJ13" s="2"/>
      <c r="AR13" s="2"/>
    </row>
    <row r="14" spans="2:44" x14ac:dyDescent="0.2">
      <c r="B14" s="8"/>
      <c r="C14" s="8"/>
      <c r="D14" s="2"/>
      <c r="E14" s="5" t="str">
        <f>IF(DAY(JanSun1)=1,IF(AND(YEAR(JanSun1+29)=CalendarYear,MONTH(JanSun1+29)=1),JanSun1+29,""),IF(AND(YEAR(JanSun1+36)=CalendarYear,MONTH(JanSun1+36)=1),JanSun1+36,""))</f>
        <v/>
      </c>
      <c r="F14" s="5" t="str">
        <f>IF(DAY(JanSun1)=1,IF(AND(YEAR(JanSun1+30)=CalendarYear,MONTH(JanSun1+30)=1),JanSun1+30,""),IF(AND(YEAR(JanSun1+37)=CalendarYear,MONTH(JanSun1+37)=1),JanSun1+37,""))</f>
        <v/>
      </c>
      <c r="G14" s="5" t="str">
        <f>IF(DAY(JanSun1)=1,IF(AND(YEAR(JanSun1+31)=CalendarYear,MONTH(JanSun1+31)=1),JanSun1+31,""),IF(AND(YEAR(JanSun1+38)=CalendarYear,MONTH(JanSun1+38)=1),JanSun1+38,""))</f>
        <v/>
      </c>
      <c r="H14" s="5" t="str">
        <f>IF(DAY(JanSun1)=1,IF(AND(YEAR(JanSun1+32)=CalendarYear,MONTH(JanSun1+32)=1),JanSun1+32,""),IF(AND(YEAR(JanSun1+39)=CalendarYear,MONTH(JanSun1+39)=1),JanSun1+39,""))</f>
        <v/>
      </c>
      <c r="I14" s="5" t="str">
        <f>IF(DAY(JanSun1)=1,IF(AND(YEAR(JanSun1+33)=CalendarYear,MONTH(JanSun1+33)=1),JanSun1+33,""),IF(AND(YEAR(JanSun1+40)=CalendarYear,MONTH(JanSun1+40)=1),JanSun1+40,""))</f>
        <v/>
      </c>
      <c r="J14" s="5" t="str">
        <f>IF(DAY(JanSun1)=1,IF(AND(YEAR(JanSun1+34)=CalendarYear,MONTH(JanSun1+34)=1),JanSun1+34,""),IF(AND(YEAR(JanSun1+41)=CalendarYear,MONTH(JanSun1+41)=1),JanSun1+41,""))</f>
        <v/>
      </c>
      <c r="K14" s="5" t="str">
        <f>IF(DAY(JanSun1)=1,IF(AND(YEAR(JanSun1+35)=CalendarYear,MONTH(JanSun1+35)=1),JanSun1+35,""),IF(AND(YEAR(JanSun1+42)=CalendarYear,MONTH(JanSun1+42)=1),JanSun1+42,""))</f>
        <v/>
      </c>
      <c r="L14" s="5"/>
      <c r="M14" s="5" t="str">
        <f>IF(DAY(FebSun1)=1,IF(AND(YEAR(FebSun1+29)=CalendarYear,MONTH(FebSun1+29)=2),FebSun1+29,""),IF(AND(YEAR(FebSun1+36)=CalendarYear,MONTH(FebSun1+36)=2),FebSun1+36,""))</f>
        <v/>
      </c>
      <c r="N14" s="5" t="str">
        <f>IF(DAY(FebSun1)=1,IF(AND(YEAR(FebSun1+30)=CalendarYear,MONTH(FebSun1+30)=2),FebSun1+30,""),IF(AND(YEAR(FebSun1+37)=CalendarYear,MONTH(FebSun1+37)=2),FebSun1+37,""))</f>
        <v/>
      </c>
      <c r="O14" s="5" t="str">
        <f>IF(DAY(FebSun1)=1,IF(AND(YEAR(FebSun1+31)=CalendarYear,MONTH(FebSun1+31)=2),FebSun1+31,""),IF(AND(YEAR(FebSun1+38)=CalendarYear,MONTH(FebSun1+38)=2),FebSun1+38,""))</f>
        <v/>
      </c>
      <c r="P14" s="5" t="str">
        <f>IF(DAY(FebSun1)=1,IF(AND(YEAR(FebSun1+32)=CalendarYear,MONTH(FebSun1+32)=2),FebSun1+32,""),IF(AND(YEAR(FebSun1+39)=CalendarYear,MONTH(FebSun1+39)=2),FebSun1+39,""))</f>
        <v/>
      </c>
      <c r="Q14" s="5" t="str">
        <f>IF(DAY(FebSun1)=1,IF(AND(YEAR(FebSun1+33)=CalendarYear,MONTH(FebSun1+33)=2),FebSun1+33,""),IF(AND(YEAR(FebSun1+40)=CalendarYear,MONTH(FebSun1+40)=2),FebSun1+40,""))</f>
        <v/>
      </c>
      <c r="R14" s="5" t="str">
        <f>IF(DAY(FebSun1)=1,IF(AND(YEAR(FebSun1+34)=CalendarYear,MONTH(FebSun1+34)=2),FebSun1+34,""),IF(AND(YEAR(FebSun1+41)=CalendarYear,MONTH(FebSun1+41)=2),FebSun1+41,""))</f>
        <v/>
      </c>
      <c r="S14" s="5" t="str">
        <f>IF(DAY(FebSun1)=1,IF(AND(YEAR(FebSun1+35)=CalendarYear,MONTH(FebSun1+35)=2),FebSun1+35,""),IF(AND(YEAR(FebSun1+42)=CalendarYear,MONTH(FebSun1+42)=2),FebSun1+42,""))</f>
        <v/>
      </c>
      <c r="T14" s="2"/>
      <c r="U14" s="8"/>
      <c r="W14" s="42" t="s">
        <v>37</v>
      </c>
      <c r="Z14" s="8"/>
      <c r="AB14" s="2"/>
      <c r="AJ14" s="2"/>
      <c r="AR14" s="2"/>
    </row>
    <row r="15" spans="2:44" ht="15.75" x14ac:dyDescent="0.25">
      <c r="B15" s="8"/>
      <c r="C15" s="8"/>
      <c r="D15" s="2"/>
      <c r="E15" s="14" t="s">
        <v>2</v>
      </c>
      <c r="F15" s="5"/>
      <c r="G15" s="5"/>
      <c r="H15" s="13"/>
      <c r="I15" s="13"/>
      <c r="J15" s="13"/>
      <c r="K15" s="13"/>
      <c r="L15" s="17"/>
      <c r="M15" s="14" t="s">
        <v>3</v>
      </c>
      <c r="N15" s="13"/>
      <c r="O15" s="13"/>
      <c r="P15" s="13"/>
      <c r="Q15" s="13"/>
      <c r="R15" s="13"/>
      <c r="S15" s="13"/>
      <c r="T15" s="2"/>
      <c r="U15" s="8"/>
      <c r="W15" s="40" t="s">
        <v>28</v>
      </c>
      <c r="Z15" s="8"/>
      <c r="AB15" s="2"/>
      <c r="AJ15" s="2"/>
      <c r="AR15" s="2"/>
    </row>
    <row r="16" spans="2:44" ht="11.25" customHeight="1" x14ac:dyDescent="0.25">
      <c r="B16" s="8"/>
      <c r="C16" s="8"/>
      <c r="D16" s="2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12</v>
      </c>
      <c r="J16" s="15" t="s">
        <v>14</v>
      </c>
      <c r="K16" s="15" t="s">
        <v>13</v>
      </c>
      <c r="L16" s="13"/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12</v>
      </c>
      <c r="R16" s="15" t="s">
        <v>14</v>
      </c>
      <c r="S16" s="15" t="s">
        <v>13</v>
      </c>
      <c r="T16" s="2"/>
      <c r="U16" s="11"/>
      <c r="W16" s="43" t="s">
        <v>66</v>
      </c>
      <c r="X16" s="3"/>
      <c r="Y16" s="3"/>
      <c r="Z16" s="8"/>
      <c r="AA16" s="3"/>
      <c r="AB16" s="2"/>
      <c r="AC16" s="3"/>
      <c r="AD16" s="3"/>
      <c r="AE16" s="3"/>
      <c r="AF16" s="3"/>
      <c r="AG16" s="3"/>
      <c r="AH16" s="3"/>
      <c r="AI16" s="3"/>
      <c r="AJ16" s="2"/>
      <c r="AK16" s="3"/>
      <c r="AL16" s="3"/>
      <c r="AM16" s="3"/>
      <c r="AN16" s="3"/>
      <c r="AO16" s="3"/>
      <c r="AP16" s="3"/>
      <c r="AQ16" s="3"/>
      <c r="AR16" s="2"/>
    </row>
    <row r="17" spans="2:44" ht="11.25" customHeight="1" x14ac:dyDescent="0.2">
      <c r="B17" s="8"/>
      <c r="C17" s="8"/>
      <c r="D17" s="2"/>
      <c r="E17" s="5" t="str">
        <f>IF(DAY(MarSun1)=1,"",IF(AND(YEAR(MarSun1+1)=CalendarYear,MONTH(MarSun1+1)=3),MarSun1+1,""))</f>
        <v/>
      </c>
      <c r="F17" s="5">
        <f>IF(DAY(MarSun1)=1,"",IF(AND(YEAR(MarSun1+2)=CalendarYear,MONTH(MarSun1+2)=3),MarSun1+2,""))</f>
        <v>42430</v>
      </c>
      <c r="G17" s="5">
        <f>IF(DAY(MarSun1)=1,"",IF(AND(YEAR(MarSun1+3)=CalendarYear,MONTH(MarSun1+3)=3),MarSun1+3,""))</f>
        <v>42431</v>
      </c>
      <c r="H17" s="5">
        <f>IF(DAY(MarSun1)=1,"",IF(AND(YEAR(MarSun1+4)=CalendarYear,MONTH(MarSun1+4)=3),MarSun1+4,""))</f>
        <v>42432</v>
      </c>
      <c r="I17" s="5">
        <f>IF(DAY(MarSun1)=1,"",IF(AND(YEAR(MarSun1+5)=CalendarYear,MONTH(MarSun1+5)=3),MarSun1+5,""))</f>
        <v>42433</v>
      </c>
      <c r="J17" s="5">
        <f>IF(DAY(MarSun1)=1,"",IF(AND(YEAR(MarSun1+6)=CalendarYear,MONTH(MarSun1+6)=3),MarSun1+6,""))</f>
        <v>42434</v>
      </c>
      <c r="K17" s="5">
        <f>IF(DAY(MarSun1)=1,IF(AND(YEAR(MarSun1)=CalendarYear,MONTH(MarSun1)=3),MarSun1,""),IF(AND(YEAR(MarSun1+7)=CalendarYear,MONTH(MarSun1+7)=3),MarSun1+7,""))</f>
        <v>42435</v>
      </c>
      <c r="L17" s="4"/>
      <c r="M17" s="5" t="str">
        <f>IF(DAY(AprSun1)=1,"",IF(AND(YEAR(AprSun1+1)=CalendarYear,MONTH(AprSun1+1)=4),AprSun1+1,""))</f>
        <v/>
      </c>
      <c r="N17" s="5" t="str">
        <f>IF(DAY(AprSun1)=1,"",IF(AND(YEAR(AprSun1+2)=CalendarYear,MONTH(AprSun1+2)=4),AprSun1+2,""))</f>
        <v/>
      </c>
      <c r="O17" s="5" t="str">
        <f>IF(DAY(AprSun1)=1,"",IF(AND(YEAR(AprSun1+3)=CalendarYear,MONTH(AprSun1+3)=4),AprSun1+3,""))</f>
        <v/>
      </c>
      <c r="P17" s="5" t="str">
        <f>IF(DAY(AprSun1)=1,"",IF(AND(YEAR(AprSun1+4)=CalendarYear,MONTH(AprSun1+4)=4),AprSun1+4,""))</f>
        <v/>
      </c>
      <c r="Q17" s="5">
        <f>IF(DAY(AprSun1)=1,"",IF(AND(YEAR(AprSun1+5)=CalendarYear,MONTH(AprSun1+5)=4),AprSun1+5,""))</f>
        <v>42461</v>
      </c>
      <c r="R17" s="5">
        <f>IF(DAY(AprSun1)=1,"",IF(AND(YEAR(AprSun1+6)=CalendarYear,MONTH(AprSun1+6)=4),AprSun1+6,""))</f>
        <v>42462</v>
      </c>
      <c r="S17" s="5">
        <f>IF(DAY(AprSun1)=1,IF(AND(YEAR(AprSun1)=CalendarYear,MONTH(AprSun1)=4),AprSun1,""),IF(AND(YEAR(AprSun1+7)=CalendarYear,MONTH(AprSun1+7)=4),AprSun1+7,""))</f>
        <v>42463</v>
      </c>
      <c r="T17" s="2"/>
      <c r="U17" s="8"/>
      <c r="W17" s="40" t="s">
        <v>62</v>
      </c>
      <c r="Z17" s="8"/>
      <c r="AB17" s="2"/>
      <c r="AJ17" s="2"/>
      <c r="AR17" s="2"/>
    </row>
    <row r="18" spans="2:44" x14ac:dyDescent="0.2">
      <c r="B18" s="8"/>
      <c r="C18" s="8"/>
      <c r="D18" s="2"/>
      <c r="E18" s="5">
        <f>IF(DAY(MarSun1)=1,IF(AND(YEAR(MarSun1+1)=CalendarYear,MONTH(MarSun1+1)=3),MarSun1+1,""),IF(AND(YEAR(MarSun1+8)=CalendarYear,MONTH(MarSun1+8)=3),MarSun1+8,""))</f>
        <v>42436</v>
      </c>
      <c r="F18" s="5">
        <f>IF(DAY(MarSun1)=1,IF(AND(YEAR(MarSun1+2)=CalendarYear,MONTH(MarSun1+2)=3),MarSun1+2,""),IF(AND(YEAR(MarSun1+9)=CalendarYear,MONTH(MarSun1+9)=3),MarSun1+9,""))</f>
        <v>42437</v>
      </c>
      <c r="G18" s="5">
        <f>IF(DAY(MarSun1)=1,IF(AND(YEAR(MarSun1+3)=CalendarYear,MONTH(MarSun1+3)=3),MarSun1+3,""),IF(AND(YEAR(MarSun1+10)=CalendarYear,MONTH(MarSun1+10)=3),MarSun1+10,""))</f>
        <v>42438</v>
      </c>
      <c r="H18" s="5">
        <f>IF(DAY(MarSun1)=1,IF(AND(YEAR(MarSun1+4)=CalendarYear,MONTH(MarSun1+4)=3),MarSun1+4,""),IF(AND(YEAR(MarSun1+11)=CalendarYear,MONTH(MarSun1+11)=3),MarSun1+11,""))</f>
        <v>42439</v>
      </c>
      <c r="I18" s="5">
        <f>IF(DAY(MarSun1)=1,IF(AND(YEAR(MarSun1+5)=CalendarYear,MONTH(MarSun1+5)=3),MarSun1+5,""),IF(AND(YEAR(MarSun1+12)=CalendarYear,MONTH(MarSun1+12)=3),MarSun1+12,""))</f>
        <v>42440</v>
      </c>
      <c r="J18" s="5">
        <f>IF(DAY(MarSun1)=1,IF(AND(YEAR(MarSun1+6)=CalendarYear,MONTH(MarSun1+6)=3),MarSun1+6,""),IF(AND(YEAR(MarSun1+13)=CalendarYear,MONTH(MarSun1+13)=3),MarSun1+13,""))</f>
        <v>42441</v>
      </c>
      <c r="K18" s="5">
        <f>IF(DAY(MarSun1)=1,IF(AND(YEAR(MarSun1+7)=CalendarYear,MONTH(MarSun1+7)=3),MarSun1+7,""),IF(AND(YEAR(MarSun1+14)=CalendarYear,MONTH(MarSun1+14)=3),MarSun1+14,""))</f>
        <v>42442</v>
      </c>
      <c r="L18" s="5"/>
      <c r="M18" s="5">
        <f>IF(DAY(AprSun1)=1,IF(AND(YEAR(AprSun1+1)=CalendarYear,MONTH(AprSun1+1)=4),AprSun1+1,""),IF(AND(YEAR(AprSun1+8)=CalendarYear,MONTH(AprSun1+8)=4),AprSun1+8,""))</f>
        <v>42464</v>
      </c>
      <c r="N18" s="5">
        <f>IF(DAY(AprSun1)=1,IF(AND(YEAR(AprSun1+2)=CalendarYear,MONTH(AprSun1+2)=4),AprSun1+2,""),IF(AND(YEAR(AprSun1+9)=CalendarYear,MONTH(AprSun1+9)=4),AprSun1+9,""))</f>
        <v>42465</v>
      </c>
      <c r="O18" s="5">
        <f>IF(DAY(AprSun1)=1,IF(AND(YEAR(AprSun1+3)=CalendarYear,MONTH(AprSun1+3)=4),AprSun1+3,""),IF(AND(YEAR(AprSun1+10)=CalendarYear,MONTH(AprSun1+10)=4),AprSun1+10,""))</f>
        <v>42466</v>
      </c>
      <c r="P18" s="5">
        <f>IF(DAY(AprSun1)=1,IF(AND(YEAR(AprSun1+4)=CalendarYear,MONTH(AprSun1+4)=4),AprSun1+4,""),IF(AND(YEAR(AprSun1+11)=CalendarYear,MONTH(AprSun1+11)=4),AprSun1+11,""))</f>
        <v>42467</v>
      </c>
      <c r="Q18" s="5">
        <f>IF(DAY(AprSun1)=1,IF(AND(YEAR(AprSun1+5)=CalendarYear,MONTH(AprSun1+5)=4),AprSun1+5,""),IF(AND(YEAR(AprSun1+12)=CalendarYear,MONTH(AprSun1+12)=4),AprSun1+12,""))</f>
        <v>42468</v>
      </c>
      <c r="R18" s="5">
        <f>IF(DAY(AprSun1)=1,IF(AND(YEAR(AprSun1+6)=CalendarYear,MONTH(AprSun1+6)=4),AprSun1+6,""),IF(AND(YEAR(AprSun1+13)=CalendarYear,MONTH(AprSun1+13)=4),AprSun1+13,""))</f>
        <v>42469</v>
      </c>
      <c r="S18" s="5">
        <f>IF(DAY(AprSun1)=1,IF(AND(YEAR(AprSun1+7)=CalendarYear,MONTH(AprSun1+7)=4),AprSun1+7,""),IF(AND(YEAR(AprSun1+14)=CalendarYear,MONTH(AprSun1+14)=4),AprSun1+14,""))</f>
        <v>42470</v>
      </c>
      <c r="T18" s="2"/>
      <c r="U18" s="8"/>
      <c r="W18" s="42" t="s">
        <v>65</v>
      </c>
      <c r="Z18" s="8"/>
      <c r="AB18" s="2"/>
      <c r="AJ18" s="2"/>
      <c r="AR18" s="2"/>
    </row>
    <row r="19" spans="2:44" ht="11.25" customHeight="1" x14ac:dyDescent="0.2">
      <c r="B19" s="8"/>
      <c r="C19" s="8"/>
      <c r="D19" s="14"/>
      <c r="E19" s="5">
        <f>IF(DAY(MarSun1)=1,IF(AND(YEAR(MarSun1+8)=CalendarYear,MONTH(MarSun1+8)=3),MarSun1+8,""),IF(AND(YEAR(MarSun1+15)=CalendarYear,MONTH(MarSun1+15)=3),MarSun1+15,""))</f>
        <v>42443</v>
      </c>
      <c r="F19" s="5">
        <f>IF(DAY(MarSun1)=1,IF(AND(YEAR(MarSun1+9)=CalendarYear,MONTH(MarSun1+9)=3),MarSun1+9,""),IF(AND(YEAR(MarSun1+16)=CalendarYear,MONTH(MarSun1+16)=3),MarSun1+16,""))</f>
        <v>42444</v>
      </c>
      <c r="G19" s="5">
        <f>IF(DAY(MarSun1)=1,IF(AND(YEAR(MarSun1+10)=CalendarYear,MONTH(MarSun1+10)=3),MarSun1+10,""),IF(AND(YEAR(MarSun1+17)=CalendarYear,MONTH(MarSun1+17)=3),MarSun1+17,""))</f>
        <v>42445</v>
      </c>
      <c r="H19" s="5">
        <f>IF(DAY(MarSun1)=1,IF(AND(YEAR(MarSun1+11)=CalendarYear,MONTH(MarSun1+11)=3),MarSun1+11,""),IF(AND(YEAR(MarSun1+18)=CalendarYear,MONTH(MarSun1+18)=3),MarSun1+18,""))</f>
        <v>42446</v>
      </c>
      <c r="I19" s="5">
        <f>IF(DAY(MarSun1)=1,IF(AND(YEAR(MarSun1+12)=CalendarYear,MONTH(MarSun1+12)=3),MarSun1+12,""),IF(AND(YEAR(MarSun1+19)=CalendarYear,MONTH(MarSun1+19)=3),MarSun1+19,""))</f>
        <v>42447</v>
      </c>
      <c r="J19" s="5">
        <f>IF(DAY(MarSun1)=1,IF(AND(YEAR(MarSun1+13)=CalendarYear,MONTH(MarSun1+13)=3),MarSun1+13,""),IF(AND(YEAR(MarSun1+20)=CalendarYear,MONTH(MarSun1+20)=3),MarSun1+20,""))</f>
        <v>42448</v>
      </c>
      <c r="K19" s="5">
        <f>IF(DAY(MarSun1)=1,IF(AND(YEAR(MarSun1+14)=CalendarYear,MONTH(MarSun1+14)=3),MarSun1+14,""),IF(AND(YEAR(MarSun1+21)=CalendarYear,MONTH(MarSun1+21)=3),MarSun1+21,""))</f>
        <v>42449</v>
      </c>
      <c r="L19" s="5"/>
      <c r="M19" s="5">
        <f>IF(DAY(AprSun1)=1,IF(AND(YEAR(AprSun1+8)=CalendarYear,MONTH(AprSun1+8)=4),AprSun1+8,""),IF(AND(YEAR(AprSun1+15)=CalendarYear,MONTH(AprSun1+15)=4),AprSun1+15,""))</f>
        <v>42471</v>
      </c>
      <c r="N19" s="5">
        <f>IF(DAY(AprSun1)=1,IF(AND(YEAR(AprSun1+9)=CalendarYear,MONTH(AprSun1+9)=4),AprSun1+9,""),IF(AND(YEAR(AprSun1+16)=CalendarYear,MONTH(AprSun1+16)=4),AprSun1+16,""))</f>
        <v>42472</v>
      </c>
      <c r="O19" s="5">
        <f>IF(DAY(AprSun1)=1,IF(AND(YEAR(AprSun1+10)=CalendarYear,MONTH(AprSun1+10)=4),AprSun1+10,""),IF(AND(YEAR(AprSun1+17)=CalendarYear,MONTH(AprSun1+17)=4),AprSun1+17,""))</f>
        <v>42473</v>
      </c>
      <c r="P19" s="21">
        <f>IF(DAY(AprSun1)=1,IF(AND(YEAR(AprSun1+11)=CalendarYear,MONTH(AprSun1+11)=4),AprSun1+11,""),IF(AND(YEAR(AprSun1+18)=CalendarYear,MONTH(AprSun1+18)=4),AprSun1+18,""))</f>
        <v>42474</v>
      </c>
      <c r="Q19" s="21">
        <f>IF(DAY(AprSun1)=1,IF(AND(YEAR(AprSun1+12)=CalendarYear,MONTH(AprSun1+12)=4),AprSun1+12,""),IF(AND(YEAR(AprSun1+19)=CalendarYear,MONTH(AprSun1+19)=4),AprSun1+19,""))</f>
        <v>42475</v>
      </c>
      <c r="R19" s="5">
        <f>IF(DAY(AprSun1)=1,IF(AND(YEAR(AprSun1+13)=CalendarYear,MONTH(AprSun1+13)=4),AprSun1+13,""),IF(AND(YEAR(AprSun1+20)=CalendarYear,MONTH(AprSun1+20)=4),AprSun1+20,""))</f>
        <v>42476</v>
      </c>
      <c r="S19" s="5">
        <f>IF(DAY(AprSun1)=1,IF(AND(YEAR(AprSun1+14)=CalendarYear,MONTH(AprSun1+14)=4),AprSun1+14,""),IF(AND(YEAR(AprSun1+21)=CalendarYear,MONTH(AprSun1+21)=4),AprSun1+21,""))</f>
        <v>42477</v>
      </c>
      <c r="T19" s="2"/>
      <c r="U19" s="8"/>
      <c r="W19" s="40" t="s">
        <v>63</v>
      </c>
      <c r="Z19" s="8"/>
      <c r="AB19" s="2"/>
      <c r="AJ19" s="2"/>
      <c r="AR19" s="2"/>
    </row>
    <row r="20" spans="2:44" ht="11.45" customHeight="1" x14ac:dyDescent="0.2">
      <c r="B20" s="8"/>
      <c r="C20" s="8"/>
      <c r="D20" s="2"/>
      <c r="E20" s="5">
        <f>IF(DAY(MarSun1)=1,IF(AND(YEAR(MarSun1+15)=CalendarYear,MONTH(MarSun1+15)=3),MarSun1+15,""),IF(AND(YEAR(MarSun1+22)=CalendarYear,MONTH(MarSun1+22)=3),MarSun1+22,""))</f>
        <v>42450</v>
      </c>
      <c r="F20" s="5">
        <f>IF(DAY(MarSun1)=1,IF(AND(YEAR(MarSun1+16)=CalendarYear,MONTH(MarSun1+16)=3),MarSun1+16,""),IF(AND(YEAR(MarSun1+23)=CalendarYear,MONTH(MarSun1+23)=3),MarSun1+23,""))</f>
        <v>42451</v>
      </c>
      <c r="G20" s="5">
        <f>IF(DAY(MarSun1)=1,IF(AND(YEAR(MarSun1+17)=CalendarYear,MONTH(MarSun1+17)=3),MarSun1+17,""),IF(AND(YEAR(MarSun1+24)=CalendarYear,MONTH(MarSun1+24)=3),MarSun1+24,""))</f>
        <v>42452</v>
      </c>
      <c r="H20" s="5">
        <f>IF(DAY(MarSun1)=1,IF(AND(YEAR(MarSun1+18)=CalendarYear,MONTH(MarSun1+18)=3),MarSun1+18,""),IF(AND(YEAR(MarSun1+25)=CalendarYear,MONTH(MarSun1+25)=3),MarSun1+25,""))</f>
        <v>42453</v>
      </c>
      <c r="I20" s="5">
        <f>IF(DAY(MarSun1)=1,IF(AND(YEAR(MarSun1+19)=CalendarYear,MONTH(MarSun1+19)=3),MarSun1+19,""),IF(AND(YEAR(MarSun1+26)=CalendarYear,MONTH(MarSun1+26)=3),MarSun1+26,""))</f>
        <v>42454</v>
      </c>
      <c r="J20" s="21">
        <f>IF(DAY(MarSun1)=1,IF(AND(YEAR(MarSun1+20)=CalendarYear,MONTH(MarSun1+20)=3),MarSun1+20,""),IF(AND(YEAR(MarSun1+27)=CalendarYear,MONTH(MarSun1+27)=3),MarSun1+27,""))</f>
        <v>42455</v>
      </c>
      <c r="K20" s="5">
        <f>IF(DAY(MarSun1)=1,IF(AND(YEAR(MarSun1+21)=CalendarYear,MONTH(MarSun1+21)=3),MarSun1+21,""),IF(AND(YEAR(MarSun1+28)=CalendarYear,MONTH(MarSun1+28)=3),MarSun1+28,""))</f>
        <v>42456</v>
      </c>
      <c r="L20" s="5"/>
      <c r="M20" s="5">
        <f>IF(DAY(AprSun1)=1,IF(AND(YEAR(AprSun1+15)=CalendarYear,MONTH(AprSun1+15)=4),AprSun1+15,""),IF(AND(YEAR(AprSun1+22)=CalendarYear,MONTH(AprSun1+22)=4),AprSun1+22,""))</f>
        <v>42478</v>
      </c>
      <c r="N20" s="5">
        <f>IF(DAY(AprSun1)=1,IF(AND(YEAR(AprSun1+16)=CalendarYear,MONTH(AprSun1+16)=4),AprSun1+16,""),IF(AND(YEAR(AprSun1+23)=CalendarYear,MONTH(AprSun1+23)=4),AprSun1+23,""))</f>
        <v>42479</v>
      </c>
      <c r="O20" s="23">
        <f>IF(DAY(AprSun1)=1,IF(AND(YEAR(AprSun1+17)=CalendarYear,MONTH(AprSun1+17)=4),AprSun1+17,""),IF(AND(YEAR(AprSun1+24)=CalendarYear,MONTH(AprSun1+24)=4),AprSun1+24,""))</f>
        <v>42480</v>
      </c>
      <c r="P20" s="23">
        <f>IF(DAY(AprSun1)=1,IF(AND(YEAR(AprSun1+18)=CalendarYear,MONTH(AprSun1+18)=4),AprSun1+18,""),IF(AND(YEAR(AprSun1+25)=CalendarYear,MONTH(AprSun1+25)=4),AprSun1+25,""))</f>
        <v>42481</v>
      </c>
      <c r="Q20" s="23">
        <f>IF(DAY(AprSun1)=1,IF(AND(YEAR(AprSun1+19)=CalendarYear,MONTH(AprSun1+19)=4),AprSun1+19,""),IF(AND(YEAR(AprSun1+26)=CalendarYear,MONTH(AprSun1+26)=4),AprSun1+26,""))</f>
        <v>42482</v>
      </c>
      <c r="R20" s="5">
        <f>IF(DAY(AprSun1)=1,IF(AND(YEAR(AprSun1+20)=CalendarYear,MONTH(AprSun1+20)=4),AprSun1+20,""),IF(AND(YEAR(AprSun1+27)=CalendarYear,MONTH(AprSun1+27)=4),AprSun1+27,""))</f>
        <v>42483</v>
      </c>
      <c r="S20" s="5">
        <f>IF(DAY(AprSun1)=1,IF(AND(YEAR(AprSun1+21)=CalendarYear,MONTH(AprSun1+21)=4),AprSun1+21,""),IF(AND(YEAR(AprSun1+28)=CalendarYear,MONTH(AprSun1+28)=4),AprSun1+28,""))</f>
        <v>42484</v>
      </c>
      <c r="T20" s="2"/>
      <c r="U20" s="8"/>
      <c r="W20" s="42" t="s">
        <v>67</v>
      </c>
      <c r="Z20" s="8"/>
      <c r="AB20" s="2"/>
      <c r="AJ20" s="2"/>
      <c r="AR20" s="2"/>
    </row>
    <row r="21" spans="2:44" ht="12" x14ac:dyDescent="0.2">
      <c r="B21" s="8"/>
      <c r="C21" s="8"/>
      <c r="D21" s="2"/>
      <c r="E21" s="21">
        <f>IF(DAY(MarSun1)=1,IF(AND(YEAR(MarSun1+22)=CalendarYear,MONTH(MarSun1+22)=3),MarSun1+22,""),IF(AND(YEAR(MarSun1+29)=CalendarYear,MONTH(MarSun1+29)=3),MarSun1+29,""))</f>
        <v>42457</v>
      </c>
      <c r="F21" s="21">
        <f>IF(DAY(MarSun1)=1,IF(AND(YEAR(MarSun1+23)=CalendarYear,MONTH(MarSun1+23)=3),MarSun1+23,""),IF(AND(YEAR(MarSun1+30)=CalendarYear,MONTH(MarSun1+30)=3),MarSun1+30,""))</f>
        <v>42458</v>
      </c>
      <c r="G21" s="21">
        <f>IF(DAY(MarSun1)=1,IF(AND(YEAR(MarSun1+24)=CalendarYear,MONTH(MarSun1+24)=3),MarSun1+24,""),IF(AND(YEAR(MarSun1+31)=CalendarYear,MONTH(MarSun1+31)=3),MarSun1+31,""))</f>
        <v>42459</v>
      </c>
      <c r="H21" s="21">
        <f>IF(DAY(MarSun1)=1,IF(AND(YEAR(MarSun1+25)=CalendarYear,MONTH(MarSun1+25)=3),MarSun1+25,""),IF(AND(YEAR(MarSun1+32)=CalendarYear,MONTH(MarSun1+32)=3),MarSun1+32,""))</f>
        <v>42460</v>
      </c>
      <c r="I21" s="5" t="str">
        <f>IF(DAY(MarSun1)=1,IF(AND(YEAR(MarSun1+26)=CalendarYear,MONTH(MarSun1+26)=3),MarSun1+26,""),IF(AND(YEAR(MarSun1+33)=CalendarYear,MONTH(MarSun1+33)=3),MarSun1+33,""))</f>
        <v/>
      </c>
      <c r="J21" s="5" t="str">
        <f>IF(DAY(MarSun1)=1,IF(AND(YEAR(MarSun1+27)=CalendarYear,MONTH(MarSun1+27)=3),MarSun1+27,""),IF(AND(YEAR(MarSun1+34)=CalendarYear,MONTH(MarSun1+34)=3),MarSun1+34,""))</f>
        <v/>
      </c>
      <c r="K21" s="5" t="str">
        <f>IF(DAY(MarSun1)=1,IF(AND(YEAR(MarSun1+28)=CalendarYear,MONTH(MarSun1+28)=3),MarSun1+28,""),IF(AND(YEAR(MarSun1+35)=CalendarYear,MONTH(MarSun1+35)=3),MarSun1+35,""))</f>
        <v/>
      </c>
      <c r="L21" s="5"/>
      <c r="M21" s="5">
        <f>IF(DAY(AprSun1)=1,IF(AND(YEAR(AprSun1+22)=CalendarYear,MONTH(AprSun1+22)=4),AprSun1+22,""),IF(AND(YEAR(AprSun1+29)=CalendarYear,MONTH(AprSun1+29)=4),AprSun1+29,""))</f>
        <v>42485</v>
      </c>
      <c r="N21" s="21">
        <f>IF(DAY(AprSun1)=1,IF(AND(YEAR(AprSun1+23)=CalendarYear,MONTH(AprSun1+23)=4),AprSun1+23,""),IF(AND(YEAR(AprSun1+30)=CalendarYear,MONTH(AprSun1+30)=4),AprSun1+30,""))</f>
        <v>42486</v>
      </c>
      <c r="O21" s="21">
        <f>IF(DAY(AprSun1)=1,IF(AND(YEAR(AprSun1+24)=CalendarYear,MONTH(AprSun1+24)=4),AprSun1+24,""),IF(AND(YEAR(AprSun1+31)=CalendarYear,MONTH(AprSun1+31)=4),AprSun1+31,""))</f>
        <v>42487</v>
      </c>
      <c r="P21" s="21">
        <f>IF(DAY(AprSun1)=1,IF(AND(YEAR(AprSun1+25)=CalendarYear,MONTH(AprSun1+25)=4),AprSun1+25,""),IF(AND(YEAR(AprSun1+32)=CalendarYear,MONTH(AprSun1+32)=4),AprSun1+32,""))</f>
        <v>42488</v>
      </c>
      <c r="Q21" s="21">
        <f>IF(DAY(AprSun1)=1,IF(AND(YEAR(AprSun1+26)=CalendarYear,MONTH(AprSun1+26)=4),AprSun1+26,""),IF(AND(YEAR(AprSun1+33)=CalendarYear,MONTH(AprSun1+33)=4),AprSun1+33,""))</f>
        <v>42489</v>
      </c>
      <c r="R21" s="5">
        <f>IF(DAY(AprSun1)=1,IF(AND(YEAR(AprSun1+27)=CalendarYear,MONTH(AprSun1+27)=4),AprSun1+27,""),IF(AND(YEAR(AprSun1+34)=CalendarYear,MONTH(AprSun1+34)=4),AprSun1+34,""))</f>
        <v>42490</v>
      </c>
      <c r="S21" s="5" t="str">
        <f>IF(DAY(AprSun1)=1,IF(AND(YEAR(AprSun1+28)=CalendarYear,MONTH(AprSun1+28)=4),AprSun1+28,""),IF(AND(YEAR(AprSun1+35)=CalendarYear,MONTH(AprSun1+35)=4),AprSun1+35,""))</f>
        <v/>
      </c>
      <c r="T21" s="2"/>
      <c r="U21" s="8"/>
      <c r="W21" s="40" t="s">
        <v>64</v>
      </c>
      <c r="Z21" s="8"/>
      <c r="AB21" s="2"/>
      <c r="AJ21" s="2"/>
      <c r="AR21" s="2"/>
    </row>
    <row r="22" spans="2:44" ht="11.25" customHeight="1" x14ac:dyDescent="0.2">
      <c r="B22" s="8"/>
      <c r="C22" s="8"/>
      <c r="D22" s="2"/>
      <c r="T22" s="2"/>
      <c r="U22" s="8"/>
      <c r="W22" s="44" t="s">
        <v>58</v>
      </c>
      <c r="Z22" s="8"/>
      <c r="AB22" s="2"/>
      <c r="AJ22" s="2"/>
      <c r="AR22" s="2"/>
    </row>
    <row r="23" spans="2:44" ht="11.25" customHeight="1" x14ac:dyDescent="0.25">
      <c r="B23" s="8"/>
      <c r="C23" s="8"/>
      <c r="D23" s="2"/>
      <c r="E23" s="14" t="s">
        <v>4</v>
      </c>
      <c r="F23" s="13"/>
      <c r="G23" s="13"/>
      <c r="H23" s="13"/>
      <c r="I23" s="13"/>
      <c r="J23" s="13"/>
      <c r="K23" s="13"/>
      <c r="L23" s="18"/>
      <c r="M23" s="14" t="s">
        <v>5</v>
      </c>
      <c r="N23" s="13"/>
      <c r="O23" s="13"/>
      <c r="P23" s="13"/>
      <c r="Q23" s="13"/>
      <c r="R23" s="13"/>
      <c r="S23" s="13"/>
      <c r="T23" s="2"/>
      <c r="U23" s="8"/>
      <c r="W23" s="40" t="s">
        <v>59</v>
      </c>
      <c r="Z23" s="8"/>
      <c r="AB23" s="2"/>
      <c r="AJ23" s="2"/>
      <c r="AR23" s="2"/>
    </row>
    <row r="24" spans="2:44" x14ac:dyDescent="0.2">
      <c r="B24" s="8"/>
      <c r="C24" s="8"/>
      <c r="D24" s="2"/>
      <c r="E24" s="15" t="s">
        <v>12</v>
      </c>
      <c r="F24" s="15" t="s">
        <v>13</v>
      </c>
      <c r="G24" s="15" t="s">
        <v>14</v>
      </c>
      <c r="H24" s="15" t="s">
        <v>15</v>
      </c>
      <c r="I24" s="15" t="s">
        <v>12</v>
      </c>
      <c r="J24" s="15" t="s">
        <v>14</v>
      </c>
      <c r="K24" s="15" t="s">
        <v>13</v>
      </c>
      <c r="L24" s="17"/>
      <c r="M24" s="15" t="s">
        <v>12</v>
      </c>
      <c r="N24" s="15" t="s">
        <v>13</v>
      </c>
      <c r="O24" s="15" t="s">
        <v>14</v>
      </c>
      <c r="P24" s="15" t="s">
        <v>15</v>
      </c>
      <c r="Q24" s="15" t="s">
        <v>12</v>
      </c>
      <c r="R24" s="15" t="s">
        <v>14</v>
      </c>
      <c r="S24" s="15" t="s">
        <v>13</v>
      </c>
      <c r="T24" s="2"/>
      <c r="U24" s="8"/>
      <c r="W24" s="44" t="s">
        <v>29</v>
      </c>
      <c r="Z24" s="8"/>
      <c r="AB24" s="2"/>
      <c r="AJ24" s="2"/>
      <c r="AR24" s="2"/>
    </row>
    <row r="25" spans="2:44" ht="11.25" customHeight="1" x14ac:dyDescent="0.25">
      <c r="B25" s="8"/>
      <c r="C25" s="8"/>
      <c r="D25" s="2"/>
      <c r="E25" s="5" t="str">
        <f>IF(DAY(MaySun1)=1,"",IF(AND(YEAR(MaySun1+1)=CalendarYear,MONTH(MaySun1+1)=5),MaySun1+1,""))</f>
        <v/>
      </c>
      <c r="F25" s="5" t="str">
        <f>IF(DAY(MaySun1)=1,"",IF(AND(YEAR(MaySun1+2)=CalendarYear,MONTH(MaySun1+2)=5),MaySun1+2,""))</f>
        <v/>
      </c>
      <c r="G25" s="5" t="str">
        <f>IF(DAY(MaySun1)=1,"",IF(AND(YEAR(MaySun1+3)=CalendarYear,MONTH(MaySun1+3)=5),MaySun1+3,""))</f>
        <v/>
      </c>
      <c r="H25" s="5" t="str">
        <f>IF(DAY(MaySun1)=1,"",IF(AND(YEAR(MaySun1+4)=CalendarYear,MONTH(MaySun1+4)=5),MaySun1+4,""))</f>
        <v/>
      </c>
      <c r="I25" s="5" t="str">
        <f>IF(DAY(MaySun1)=1,"",IF(AND(YEAR(MaySun1+5)=CalendarYear,MONTH(MaySun1+5)=5),MaySun1+5,""))</f>
        <v/>
      </c>
      <c r="J25" s="5" t="str">
        <f>IF(DAY(MaySun1)=1,"",IF(AND(YEAR(MaySun1+6)=CalendarYear,MONTH(MaySun1+6)=5),MaySun1+6,""))</f>
        <v/>
      </c>
      <c r="K25" s="5">
        <f>IF(DAY(MaySun1)=1,IF(AND(YEAR(MaySun1)=CalendarYear,MONTH(MaySun1)=5),MaySun1,""),IF(AND(YEAR(MaySun1+7)=CalendarYear,MONTH(MaySun1+7)=5),MaySun1+7,""))</f>
        <v>42491</v>
      </c>
      <c r="L25" s="6"/>
      <c r="M25" s="5" t="str">
        <f>IF(DAY(JunSun1)=1,"",IF(AND(YEAR(JunSun1+1)=CalendarYear,MONTH(JunSun1+1)=6),JunSun1+1,""))</f>
        <v/>
      </c>
      <c r="N25" s="5" t="str">
        <f>IF(DAY(JunSun1)=1,"",IF(AND(YEAR(JunSun1+2)=CalendarYear,MONTH(JunSun1+2)=6),JunSun1+2,""))</f>
        <v/>
      </c>
      <c r="O25" s="5">
        <f>IF(DAY(JunSun1)=1,"",IF(AND(YEAR(JunSun1+3)=CalendarYear,MONTH(JunSun1+3)=6),JunSun1+3,""))</f>
        <v>42522</v>
      </c>
      <c r="P25" s="5">
        <f>IF(DAY(JunSun1)=1,"",IF(AND(YEAR(JunSun1+4)=CalendarYear,MONTH(JunSun1+4)=6),JunSun1+4,""))</f>
        <v>42523</v>
      </c>
      <c r="Q25" s="5">
        <f>IF(DAY(JunSun1)=1,"",IF(AND(YEAR(JunSun1+5)=CalendarYear,MONTH(JunSun1+5)=6),JunSun1+5,""))</f>
        <v>42524</v>
      </c>
      <c r="R25" s="5">
        <f>IF(DAY(JunSun1)=1,"",IF(AND(YEAR(JunSun1+6)=CalendarYear,MONTH(JunSun1+6)=6),JunSun1+6,""))</f>
        <v>42525</v>
      </c>
      <c r="S25" s="5">
        <f>IF(DAY(JunSun1)=1,IF(AND(YEAR(JunSun1)=CalendarYear,MONTH(JunSun1)=6),JunSun1,""),IF(AND(YEAR(JunSun1+7)=CalendarYear,MONTH(JunSun1+7)=6),JunSun1+7,""))</f>
        <v>42526</v>
      </c>
      <c r="T25" s="2"/>
      <c r="U25" s="11"/>
      <c r="W25" s="40" t="s">
        <v>39</v>
      </c>
      <c r="X25" s="3"/>
      <c r="Y25" s="3"/>
      <c r="Z25" s="8"/>
      <c r="AA25" s="3"/>
      <c r="AF25" s="3"/>
      <c r="AG25" s="3"/>
      <c r="AH25" s="3"/>
      <c r="AI25" s="3"/>
      <c r="AJ25" s="2"/>
      <c r="AK25" s="3"/>
      <c r="AL25" s="3"/>
      <c r="AM25" s="3"/>
      <c r="AN25" s="3"/>
      <c r="AO25" s="3"/>
      <c r="AP25" s="3"/>
      <c r="AQ25" s="3"/>
      <c r="AR25" s="2"/>
    </row>
    <row r="26" spans="2:44" ht="11.25" customHeight="1" x14ac:dyDescent="0.2">
      <c r="B26" s="8"/>
      <c r="C26" s="8"/>
      <c r="D26" s="2"/>
      <c r="E26" s="5">
        <f>IF(DAY(MaySun1)=1,IF(AND(YEAR(MaySun1+1)=CalendarYear,MONTH(MaySun1+1)=5),MaySun1+1,""),IF(AND(YEAR(MaySun1+8)=CalendarYear,MONTH(MaySun1+8)=5),MaySun1+8,""))</f>
        <v>42492</v>
      </c>
      <c r="F26" s="5">
        <f>IF(DAY(MaySun1)=1,IF(AND(YEAR(MaySun1+2)=CalendarYear,MONTH(MaySun1+2)=5),MaySun1+2,""),IF(AND(YEAR(MaySun1+9)=CalendarYear,MONTH(MaySun1+9)=5),MaySun1+9,""))</f>
        <v>42493</v>
      </c>
      <c r="G26" s="5">
        <f>IF(DAY(MaySun1)=1,IF(AND(YEAR(MaySun1+3)=CalendarYear,MONTH(MaySun1+3)=5),MaySun1+3,""),IF(AND(YEAR(MaySun1+10)=CalendarYear,MONTH(MaySun1+10)=5),MaySun1+10,""))</f>
        <v>42494</v>
      </c>
      <c r="H26" s="5">
        <f>IF(DAY(MaySun1)=1,IF(AND(YEAR(MaySun1+4)=CalendarYear,MONTH(MaySun1+4)=5),MaySun1+4,""),IF(AND(YEAR(MaySun1+11)=CalendarYear,MONTH(MaySun1+11)=5),MaySun1+11,""))</f>
        <v>42495</v>
      </c>
      <c r="I26" s="5">
        <f>IF(DAY(MaySun1)=1,IF(AND(YEAR(MaySun1+5)=CalendarYear,MONTH(MaySun1+5)=5),MaySun1+5,""),IF(AND(YEAR(MaySun1+12)=CalendarYear,MONTH(MaySun1+12)=5),MaySun1+12,""))</f>
        <v>42496</v>
      </c>
      <c r="J26" s="5">
        <f>IF(DAY(MaySun1)=1,IF(AND(YEAR(MaySun1+6)=CalendarYear,MONTH(MaySun1+6)=5),MaySun1+6,""),IF(AND(YEAR(MaySun1+13)=CalendarYear,MONTH(MaySun1+13)=5),MaySun1+13,""))</f>
        <v>42497</v>
      </c>
      <c r="K26" s="5">
        <f>IF(DAY(MaySun1)=1,IF(AND(YEAR(MaySun1+7)=CalendarYear,MONTH(MaySun1+7)=5),MaySun1+7,""),IF(AND(YEAR(MaySun1+14)=CalendarYear,MONTH(MaySun1+14)=5),MaySun1+14,""))</f>
        <v>42498</v>
      </c>
      <c r="L26" s="4"/>
      <c r="M26" s="21">
        <f>IF(DAY(JunSun1)=1,IF(AND(YEAR(JunSun1+1)=CalendarYear,MONTH(JunSun1+1)=6),JunSun1+1,""),IF(AND(YEAR(JunSun1+8)=CalendarYear,MONTH(JunSun1+8)=6),JunSun1+8,""))</f>
        <v>42527</v>
      </c>
      <c r="N26" s="21">
        <f>IF(DAY(JunSun1)=1,IF(AND(YEAR(JunSun1+2)=CalendarYear,MONTH(JunSun1+2)=6),JunSun1+2,""),IF(AND(YEAR(JunSun1+9)=CalendarYear,MONTH(JunSun1+9)=6),JunSun1+9,""))</f>
        <v>42528</v>
      </c>
      <c r="O26" s="21">
        <f>IF(DAY(JunSun1)=1,IF(AND(YEAR(JunSun1+3)=CalendarYear,MONTH(JunSun1+3)=6),JunSun1+3,""),IF(AND(YEAR(JunSun1+10)=CalendarYear,MONTH(JunSun1+10)=6),JunSun1+10,""))</f>
        <v>42529</v>
      </c>
      <c r="P26" s="21">
        <f>IF(DAY(JunSun1)=1,IF(AND(YEAR(JunSun1+4)=CalendarYear,MONTH(JunSun1+4)=6),JunSun1+4,""),IF(AND(YEAR(JunSun1+11)=CalendarYear,MONTH(JunSun1+11)=6),JunSun1+11,""))</f>
        <v>42530</v>
      </c>
      <c r="Q26" s="21">
        <f>IF(DAY(JunSun1)=1,IF(AND(YEAR(JunSun1+5)=CalendarYear,MONTH(JunSun1+5)=6),JunSun1+5,""),IF(AND(YEAR(JunSun1+12)=CalendarYear,MONTH(JunSun1+12)=6),JunSun1+12,""))</f>
        <v>42531</v>
      </c>
      <c r="R26" s="28">
        <f>IF(DAY(JunSun1)=1,IF(AND(YEAR(JunSun1+6)=CalendarYear,MONTH(JunSun1+6)=6),JunSun1+6,""),IF(AND(YEAR(JunSun1+13)=CalendarYear,MONTH(JunSun1+13)=6),JunSun1+13,""))</f>
        <v>42532</v>
      </c>
      <c r="S26" s="28">
        <f>IF(DAY(JunSun1)=1,IF(AND(YEAR(JunSun1+7)=CalendarYear,MONTH(JunSun1+7)=6),JunSun1+7,""),IF(AND(YEAR(JunSun1+14)=CalendarYear,MONTH(JunSun1+14)=6),JunSun1+14,""))</f>
        <v>42533</v>
      </c>
      <c r="T26" s="2"/>
      <c r="U26" s="8"/>
      <c r="W26" s="42" t="s">
        <v>88</v>
      </c>
      <c r="Z26" s="8"/>
      <c r="AJ26" s="2"/>
      <c r="AR26" s="2"/>
    </row>
    <row r="27" spans="2:44" ht="12" x14ac:dyDescent="0.2">
      <c r="B27" s="8"/>
      <c r="C27" s="8"/>
      <c r="D27" s="2"/>
      <c r="E27" s="5">
        <f>IF(DAY(MaySun1)=1,IF(AND(YEAR(MaySun1+8)=CalendarYear,MONTH(MaySun1+8)=5),MaySun1+8,""),IF(AND(YEAR(MaySun1+15)=CalendarYear,MONTH(MaySun1+15)=5),MaySun1+15,""))</f>
        <v>42499</v>
      </c>
      <c r="F27" s="5">
        <f>IF(DAY(MaySun1)=1,IF(AND(YEAR(MaySun1+9)=CalendarYear,MONTH(MaySun1+9)=5),MaySun1+9,""),IF(AND(YEAR(MaySun1+16)=CalendarYear,MONTH(MaySun1+16)=5),MaySun1+16,""))</f>
        <v>42500</v>
      </c>
      <c r="G27" s="5">
        <f>IF(DAY(MaySun1)=1,IF(AND(YEAR(MaySun1+10)=CalendarYear,MONTH(MaySun1+10)=5),MaySun1+10,""),IF(AND(YEAR(MaySun1+17)=CalendarYear,MONTH(MaySun1+17)=5),MaySun1+17,""))</f>
        <v>42501</v>
      </c>
      <c r="H27" s="5">
        <f>IF(DAY(MaySun1)=1,IF(AND(YEAR(MaySun1+11)=CalendarYear,MONTH(MaySun1+11)=5),MaySun1+11,""),IF(AND(YEAR(MaySun1+18)=CalendarYear,MONTH(MaySun1+18)=5),MaySun1+18,""))</f>
        <v>42502</v>
      </c>
      <c r="I27" s="5">
        <f>IF(DAY(MaySun1)=1,IF(AND(YEAR(MaySun1+12)=CalendarYear,MONTH(MaySun1+12)=5),MaySun1+12,""),IF(AND(YEAR(MaySun1+19)=CalendarYear,MONTH(MaySun1+19)=5),MaySun1+19,""))</f>
        <v>42503</v>
      </c>
      <c r="J27" s="5">
        <f>IF(DAY(MaySun1)=1,IF(AND(YEAR(MaySun1+13)=CalendarYear,MONTH(MaySun1+13)=5),MaySun1+13,""),IF(AND(YEAR(MaySun1+20)=CalendarYear,MONTH(MaySun1+20)=5),MaySun1+20,""))</f>
        <v>42504</v>
      </c>
      <c r="K27" s="5">
        <f>IF(DAY(MaySun1)=1,IF(AND(YEAR(MaySun1+14)=CalendarYear,MONTH(MaySun1+14)=5),MaySun1+14,""),IF(AND(YEAR(MaySun1+21)=CalendarYear,MONTH(MaySun1+21)=5),MaySun1+21,""))</f>
        <v>42505</v>
      </c>
      <c r="L27" s="5"/>
      <c r="M27" s="21">
        <f>IF(DAY(JunSun1)=1,IF(AND(YEAR(JunSun1+8)=CalendarYear,MONTH(JunSun1+8)=6),JunSun1+8,""),IF(AND(YEAR(JunSun1+15)=CalendarYear,MONTH(JunSun1+15)=6),JunSun1+15,""))</f>
        <v>42534</v>
      </c>
      <c r="N27" s="21">
        <f>IF(DAY(JunSun1)=1,IF(AND(YEAR(JunSun1+9)=CalendarYear,MONTH(JunSun1+9)=6),JunSun1+9,""),IF(AND(YEAR(JunSun1+16)=CalendarYear,MONTH(JunSun1+16)=6),JunSun1+16,""))</f>
        <v>42535</v>
      </c>
      <c r="O27" s="21">
        <f>IF(DAY(JunSun1)=1,IF(AND(YEAR(JunSun1+10)=CalendarYear,MONTH(JunSun1+10)=6),JunSun1+10,""),IF(AND(YEAR(JunSun1+17)=CalendarYear,MONTH(JunSun1+17)=6),JunSun1+17,""))</f>
        <v>42536</v>
      </c>
      <c r="P27" s="21">
        <f>IF(DAY(JunSun1)=1,IF(AND(YEAR(JunSun1+11)=CalendarYear,MONTH(JunSun1+11)=6),JunSun1+11,""),IF(AND(YEAR(JunSun1+18)=CalendarYear,MONTH(JunSun1+18)=6),JunSun1+18,""))</f>
        <v>42537</v>
      </c>
      <c r="Q27" s="21">
        <f>IF(DAY(JunSun1)=1,IF(AND(YEAR(JunSun1+12)=CalendarYear,MONTH(JunSun1+12)=6),JunSun1+12,""),IF(AND(YEAR(JunSun1+19)=CalendarYear,MONTH(JunSun1+19)=6),JunSun1+19,""))</f>
        <v>42538</v>
      </c>
      <c r="R27" s="28">
        <f>IF(DAY(JunSun1)=1,IF(AND(YEAR(JunSun1+13)=CalendarYear,MONTH(JunSun1+13)=6),JunSun1+13,""),IF(AND(YEAR(JunSun1+20)=CalendarYear,MONTH(JunSun1+20)=6),JunSun1+20,""))</f>
        <v>42539</v>
      </c>
      <c r="S27" s="28">
        <f>IF(DAY(JunSun1)=1,IF(AND(YEAR(JunSun1+14)=CalendarYear,MONTH(JunSun1+14)=6),JunSun1+14,""),IF(AND(YEAR(JunSun1+21)=CalendarYear,MONTH(JunSun1+21)=6),JunSun1+21,""))</f>
        <v>42540</v>
      </c>
      <c r="T27" s="2"/>
      <c r="U27" s="8"/>
      <c r="W27" s="40" t="s">
        <v>68</v>
      </c>
      <c r="Z27" s="8"/>
      <c r="AJ27" s="2"/>
      <c r="AR27" s="2"/>
    </row>
    <row r="28" spans="2:44" ht="12" customHeight="1" x14ac:dyDescent="0.2">
      <c r="B28" s="8"/>
      <c r="C28" s="8"/>
      <c r="D28" s="2"/>
      <c r="E28" s="5">
        <f>IF(DAY(MaySun1)=1,IF(AND(YEAR(MaySun1+15)=CalendarYear,MONTH(MaySun1+15)=5),MaySun1+15,""),IF(AND(YEAR(MaySun1+22)=CalendarYear,MONTH(MaySun1+22)=5),MaySun1+22,""))</f>
        <v>42506</v>
      </c>
      <c r="F28" s="5">
        <f>IF(DAY(MaySun1)=1,IF(AND(YEAR(MaySun1+16)=CalendarYear,MONTH(MaySun1+16)=5),MaySun1+16,""),IF(AND(YEAR(MaySun1+23)=CalendarYear,MONTH(MaySun1+23)=5),MaySun1+23,""))</f>
        <v>42507</v>
      </c>
      <c r="G28" s="5">
        <f>IF(DAY(MaySun1)=1,IF(AND(YEAR(MaySun1+17)=CalendarYear,MONTH(MaySun1+17)=5),MaySun1+17,""),IF(AND(YEAR(MaySun1+24)=CalendarYear,MONTH(MaySun1+24)=5),MaySun1+24,""))</f>
        <v>42508</v>
      </c>
      <c r="H28" s="5">
        <f>IF(DAY(MaySun1)=1,IF(AND(YEAR(MaySun1+18)=CalendarYear,MONTH(MaySun1+18)=5),MaySun1+18,""),IF(AND(YEAR(MaySun1+25)=CalendarYear,MONTH(MaySun1+25)=5),MaySun1+25,""))</f>
        <v>42509</v>
      </c>
      <c r="I28" s="5">
        <f>IF(DAY(MaySun1)=1,IF(AND(YEAR(MaySun1+19)=CalendarYear,MONTH(MaySun1+19)=5),MaySun1+19,""),IF(AND(YEAR(MaySun1+26)=CalendarYear,MONTH(MaySun1+26)=5),MaySun1+26,""))</f>
        <v>42510</v>
      </c>
      <c r="J28" s="5">
        <f>IF(DAY(MaySun1)=1,IF(AND(YEAR(MaySun1+20)=CalendarYear,MONTH(MaySun1+20)=5),MaySun1+20,""),IF(AND(YEAR(MaySun1+27)=CalendarYear,MONTH(MaySun1+27)=5),MaySun1+27,""))</f>
        <v>42511</v>
      </c>
      <c r="K28" s="5">
        <f>IF(DAY(MaySun1)=1,IF(AND(YEAR(MaySun1+21)=CalendarYear,MONTH(MaySun1+21)=5),MaySun1+21,""),IF(AND(YEAR(MaySun1+28)=CalendarYear,MONTH(MaySun1+28)=5),MaySun1+28,""))</f>
        <v>42512</v>
      </c>
      <c r="L28" s="5"/>
      <c r="M28" s="28">
        <f>IF(DAY(JunSun1)=1,IF(AND(YEAR(JunSun1+15)=CalendarYear,MONTH(JunSun1+15)=6),JunSun1+15,""),IF(AND(YEAR(JunSun1+22)=CalendarYear,MONTH(JunSun1+22)=6),JunSun1+22,""))</f>
        <v>42541</v>
      </c>
      <c r="N28" s="28">
        <f>IF(DAY(JunSun1)=1,IF(AND(YEAR(JunSun1+16)=CalendarYear,MONTH(JunSun1+16)=6),JunSun1+16,""),IF(AND(YEAR(JunSun1+23)=CalendarYear,MONTH(JunSun1+23)=6),JunSun1+23,""))</f>
        <v>42542</v>
      </c>
      <c r="O28" s="28">
        <f>IF(DAY(JunSun1)=1,IF(AND(YEAR(JunSun1+17)=CalendarYear,MONTH(JunSun1+17)=6),JunSun1+17,""),IF(AND(YEAR(JunSun1+24)=CalendarYear,MONTH(JunSun1+24)=6),JunSun1+24,""))</f>
        <v>42543</v>
      </c>
      <c r="P28" s="21">
        <f>IF(DAY(JunSun1)=1,IF(AND(YEAR(JunSun1+18)=CalendarYear,MONTH(JunSun1+18)=6),JunSun1+18,""),IF(AND(YEAR(JunSun1+25)=CalendarYear,MONTH(JunSun1+25)=6),JunSun1+25,""))</f>
        <v>42544</v>
      </c>
      <c r="Q28" s="28">
        <f>IF(DAY(JunSun1)=1,IF(AND(YEAR(JunSun1+19)=CalendarYear,MONTH(JunSun1+19)=6),JunSun1+19,""),IF(AND(YEAR(JunSun1+26)=CalendarYear,MONTH(JunSun1+26)=6),JunSun1+26,""))</f>
        <v>42545</v>
      </c>
      <c r="R28" s="28">
        <f>IF(DAY(JunSun1)=1,IF(AND(YEAR(JunSun1+20)=CalendarYear,MONTH(JunSun1+20)=6),JunSun1+20,""),IF(AND(YEAR(JunSun1+27)=CalendarYear,MONTH(JunSun1+27)=6),JunSun1+27,""))</f>
        <v>42546</v>
      </c>
      <c r="S28" s="22">
        <f>IF(DAY(JunSun1)=1,IF(AND(YEAR(JunSun1+21)=CalendarYear,MONTH(JunSun1+21)=6),JunSun1+21,""),IF(AND(YEAR(JunSun1+28)=CalendarYear,MONTH(JunSun1+28)=6),JunSun1+28,""))</f>
        <v>42547</v>
      </c>
      <c r="T28" s="2"/>
      <c r="U28" s="8"/>
      <c r="W28" s="40" t="s">
        <v>69</v>
      </c>
      <c r="Z28" s="8"/>
      <c r="AJ28" s="2"/>
      <c r="AR28" s="2"/>
    </row>
    <row r="29" spans="2:44" ht="11.25" customHeight="1" x14ac:dyDescent="0.2">
      <c r="B29" s="8"/>
      <c r="C29" s="8"/>
      <c r="D29" s="2"/>
      <c r="E29" s="5">
        <f>IF(DAY(MaySun1)=1,IF(AND(YEAR(MaySun1+22)=CalendarYear,MONTH(MaySun1+22)=5),MaySun1+22,""),IF(AND(YEAR(MaySun1+29)=CalendarYear,MONTH(MaySun1+29)=5),MaySun1+29,""))</f>
        <v>42513</v>
      </c>
      <c r="F29" s="5">
        <f>IF(DAY(MaySun1)=1,IF(AND(YEAR(MaySun1+23)=CalendarYear,MONTH(MaySun1+23)=5),MaySun1+23,""),IF(AND(YEAR(MaySun1+30)=CalendarYear,MONTH(MaySun1+30)=5),MaySun1+30,""))</f>
        <v>42514</v>
      </c>
      <c r="G29" s="22">
        <f>IF(DAY(MaySun1)=1,IF(AND(YEAR(MaySun1+24)=CalendarYear,MONTH(MaySun1+24)=5),MaySun1+24,""),IF(AND(YEAR(MaySun1+31)=CalendarYear,MONTH(MaySun1+31)=5),MaySun1+31,""))</f>
        <v>42515</v>
      </c>
      <c r="H29" s="22">
        <f>IF(DAY(MaySun1)=1,IF(AND(YEAR(MaySun1+25)=CalendarYear,MONTH(MaySun1+25)=5),MaySun1+25,""),IF(AND(YEAR(MaySun1+32)=CalendarYear,MONTH(MaySun1+32)=5),MaySun1+32,""))</f>
        <v>42516</v>
      </c>
      <c r="I29" s="22">
        <f>IF(DAY(MaySun1)=1,IF(AND(YEAR(MaySun1+26)=CalendarYear,MONTH(MaySun1+26)=5),MaySun1+26,""),IF(AND(YEAR(MaySun1+33)=CalendarYear,MONTH(MaySun1+33)=5),MaySun1+33,""))</f>
        <v>42517</v>
      </c>
      <c r="J29" s="5">
        <f>IF(DAY(MaySun1)=1,IF(AND(YEAR(MaySun1+27)=CalendarYear,MONTH(MaySun1+27)=5),MaySun1+27,""),IF(AND(YEAR(MaySun1+34)=CalendarYear,MONTH(MaySun1+34)=5),MaySun1+34,""))</f>
        <v>42518</v>
      </c>
      <c r="K29" s="5">
        <f>IF(DAY(MaySun1)=1,IF(AND(YEAR(MaySun1+28)=CalendarYear,MONTH(MaySun1+28)=5),MaySun1+28,""),IF(AND(YEAR(MaySun1+35)=CalendarYear,MONTH(MaySun1+35)=5),MaySun1+35,""))</f>
        <v>42519</v>
      </c>
      <c r="L29" s="5"/>
      <c r="M29" s="22">
        <f>IF(DAY(JunSun1)=1,IF(AND(YEAR(JunSun1+22)=CalendarYear,MONTH(JunSun1+22)=6),JunSun1+22,""),IF(AND(YEAR(JunSun1+29)=CalendarYear,MONTH(JunSun1+29)=6),JunSun1+29,""))</f>
        <v>42548</v>
      </c>
      <c r="N29" s="21">
        <f>IF(DAY(JunSun1)=1,IF(AND(YEAR(JunSun1+23)=CalendarYear,MONTH(JunSun1+23)=6),JunSun1+23,""),IF(AND(YEAR(JunSun1+30)=CalendarYear,MONTH(JunSun1+30)=6),JunSun1+30,""))</f>
        <v>42549</v>
      </c>
      <c r="O29" s="21">
        <f>IF(DAY(JunSun1)=1,IF(AND(YEAR(JunSun1+24)=CalendarYear,MONTH(JunSun1+24)=6),JunSun1+24,""),IF(AND(YEAR(JunSun1+31)=CalendarYear,MONTH(JunSun1+31)=6),JunSun1+31,""))</f>
        <v>42550</v>
      </c>
      <c r="P29" s="21">
        <f>IF(DAY(JunSun1)=1,IF(AND(YEAR(JunSun1+25)=CalendarYear,MONTH(JunSun1+25)=6),JunSun1+25,""),IF(AND(YEAR(JunSun1+32)=CalendarYear,MONTH(JunSun1+32)=6),JunSun1+32,""))</f>
        <v>42551</v>
      </c>
      <c r="Q29" s="28" t="str">
        <f>IF(DAY(JunSun1)=1,IF(AND(YEAR(JunSun1+26)=CalendarYear,MONTH(JunSun1+26)=6),JunSun1+26,""),IF(AND(YEAR(JunSun1+33)=CalendarYear,MONTH(JunSun1+33)=6),JunSun1+33,""))</f>
        <v/>
      </c>
      <c r="R29" s="28" t="str">
        <f>IF(DAY(JunSun1)=1,IF(AND(YEAR(JunSun1+27)=CalendarYear,MONTH(JunSun1+27)=6),JunSun1+27,""),IF(AND(YEAR(JunSun1+34)=CalendarYear,MONTH(JunSun1+34)=6),JunSun1+34,""))</f>
        <v/>
      </c>
      <c r="S29" s="28" t="str">
        <f>IF(DAY(JunSun1)=1,IF(AND(YEAR(JunSun1+28)=CalendarYear,MONTH(JunSun1+28)=6),JunSun1+28,""),IF(AND(YEAR(JunSun1+35)=CalendarYear,MONTH(JunSun1+35)=6),JunSun1+35,""))</f>
        <v/>
      </c>
      <c r="T29" s="2"/>
      <c r="U29" s="8"/>
      <c r="W29" s="40" t="s">
        <v>79</v>
      </c>
      <c r="Z29" s="8"/>
      <c r="AJ29" s="2"/>
      <c r="AR29" s="2"/>
    </row>
    <row r="30" spans="2:44" ht="12" customHeight="1" x14ac:dyDescent="0.2">
      <c r="B30" s="8"/>
      <c r="C30" s="8"/>
      <c r="D30" s="2"/>
      <c r="E30" s="5">
        <f>IF(DAY(MaySun1)=1,IF(AND(YEAR(MaySun1+29)=CalendarYear,MONTH(MaySun1+29)=5),MaySun1+29,""),IF(AND(YEAR(MaySun1+36)=CalendarYear,MONTH(MaySun1+36)=5),MaySun1+36,""))</f>
        <v>42520</v>
      </c>
      <c r="F30" s="5">
        <f>IF(DAY(MaySun1)=1,IF(AND(YEAR(MaySun1+30)=CalendarYear,MONTH(MaySun1+30)=5),MaySun1+30,""),IF(AND(YEAR(MaySun1+37)=CalendarYear,MONTH(MaySun1+37)=5),MaySun1+37,""))</f>
        <v>42521</v>
      </c>
      <c r="G30" s="5" t="str">
        <f>IF(DAY(MaySun1)=1,IF(AND(YEAR(MaySun1+31)=CalendarYear,MONTH(MaySun1+31)=5),MaySun1+31,""),IF(AND(YEAR(MaySun1+38)=CalendarYear,MONTH(MaySun1+38)=5),MaySun1+38,""))</f>
        <v/>
      </c>
      <c r="H30" s="5" t="str">
        <f>IF(DAY(MaySun1)=1,IF(AND(YEAR(MaySun1+32)=CalendarYear,MONTH(MaySun1+32)=5),MaySun1+32,""),IF(AND(YEAR(MaySun1+39)=CalendarYear,MONTH(MaySun1+39)=5),MaySun1+39,""))</f>
        <v/>
      </c>
      <c r="I30" s="5" t="str">
        <f>IF(DAY(MaySun1)=1,IF(AND(YEAR(MaySun1+33)=CalendarYear,MONTH(MaySun1+33)=5),MaySun1+33,""),IF(AND(YEAR(MaySun1+40)=CalendarYear,MONTH(MaySun1+40)=5),MaySun1+40,""))</f>
        <v/>
      </c>
      <c r="J30" s="5" t="str">
        <f>IF(DAY(MaySun1)=1,IF(AND(YEAR(MaySun1+34)=CalendarYear,MONTH(MaySun1+34)=5),MaySun1+34,""),IF(AND(YEAR(MaySun1+41)=CalendarYear,MONTH(MaySun1+41)=5),MaySun1+41,""))</f>
        <v/>
      </c>
      <c r="K30" s="5" t="str">
        <f>IF(DAY(MaySun1)=1,IF(AND(YEAR(MaySun1+35)=CalendarYear,MONTH(MaySun1+35)=5),MaySun1+35,""),IF(AND(YEAR(MaySun1+42)=CalendarYear,MONTH(MaySun1+42)=5),MaySun1+42,""))</f>
        <v/>
      </c>
      <c r="L30" s="5"/>
      <c r="M30" s="5" t="str">
        <f>IF(DAY(JunSun1)=1,IF(AND(YEAR(JunSun1+29)=CalendarYear,MONTH(JunSun1+29)=6),JunSun1+29,""),IF(AND(YEAR(JunSun1+36)=CalendarYear,MONTH(JunSun1+36)=6),JunSun1+36,""))</f>
        <v/>
      </c>
      <c r="N30" s="5" t="str">
        <f>IF(DAY(JunSun1)=1,IF(AND(YEAR(JunSun1+30)=CalendarYear,MONTH(JunSun1+30)=6),JunSun1+30,""),IF(AND(YEAR(JunSun1+37)=CalendarYear,MONTH(JunSun1+37)=6),JunSun1+37,""))</f>
        <v/>
      </c>
      <c r="O30" s="5" t="str">
        <f>IF(DAY(JunSun1)=1,IF(AND(YEAR(JunSun1+31)=CalendarYear,MONTH(JunSun1+31)=6),JunSun1+31,""),IF(AND(YEAR(JunSun1+38)=CalendarYear,MONTH(JunSun1+38)=6),JunSun1+38,""))</f>
        <v/>
      </c>
      <c r="P30" s="5" t="str">
        <f>IF(DAY(JunSun1)=1,IF(AND(YEAR(JunSun1+32)=CalendarYear,MONTH(JunSun1+32)=6),JunSun1+32,""),IF(AND(YEAR(JunSun1+39)=CalendarYear,MONTH(JunSun1+39)=6),JunSun1+39,""))</f>
        <v/>
      </c>
      <c r="Q30" s="5" t="str">
        <f>IF(DAY(JunSun1)=1,IF(AND(YEAR(JunSun1+33)=CalendarYear,MONTH(JunSun1+33)=6),JunSun1+33,""),IF(AND(YEAR(JunSun1+40)=CalendarYear,MONTH(JunSun1+40)=6),JunSun1+40,""))</f>
        <v/>
      </c>
      <c r="R30" s="5" t="str">
        <f>IF(DAY(JunSun1)=1,IF(AND(YEAR(JunSun1+34)=CalendarYear,MONTH(JunSun1+34)=6),JunSun1+34,""),IF(AND(YEAR(JunSun1+41)=CalendarYear,MONTH(JunSun1+41)=6),JunSun1+41,""))</f>
        <v/>
      </c>
      <c r="S30" s="5" t="str">
        <f>IF(DAY(JunSun1)=1,IF(AND(YEAR(JunSun1+35)=CalendarYear,MONTH(JunSun1+35)=6),JunSun1+35,""),IF(AND(YEAR(JunSun1+42)=CalendarYear,MONTH(JunSun1+42)=6),JunSun1+42,""))</f>
        <v/>
      </c>
      <c r="T30" s="2"/>
      <c r="U30" s="8"/>
      <c r="W30" s="42" t="s">
        <v>40</v>
      </c>
      <c r="Z30" s="8"/>
      <c r="AJ30" s="2"/>
      <c r="AR30" s="2"/>
    </row>
    <row r="31" spans="2:44" ht="11.25" customHeight="1" x14ac:dyDescent="0.2">
      <c r="B31" s="8"/>
      <c r="C31" s="8"/>
      <c r="D31" s="2"/>
      <c r="T31" s="2"/>
      <c r="U31" s="8"/>
      <c r="W31" s="40" t="s">
        <v>55</v>
      </c>
      <c r="Z31" s="8"/>
      <c r="AJ31" s="2"/>
      <c r="AR31" s="2"/>
    </row>
    <row r="32" spans="2:44" ht="11.25" customHeight="1" x14ac:dyDescent="0.25">
      <c r="B32" s="8"/>
      <c r="C32" s="8"/>
      <c r="D32" s="2"/>
      <c r="E32" s="14" t="s">
        <v>6</v>
      </c>
      <c r="F32" s="13"/>
      <c r="G32" s="13"/>
      <c r="H32" s="13"/>
      <c r="I32" s="13"/>
      <c r="J32" s="13"/>
      <c r="K32" s="13"/>
      <c r="L32" s="18"/>
      <c r="M32" s="14" t="s">
        <v>7</v>
      </c>
      <c r="N32" s="13"/>
      <c r="O32" s="13"/>
      <c r="P32" s="13"/>
      <c r="Q32" s="13"/>
      <c r="R32" s="13"/>
      <c r="S32" s="13"/>
      <c r="T32" s="2"/>
      <c r="U32" s="8"/>
      <c r="W32" s="44" t="s">
        <v>70</v>
      </c>
      <c r="Z32" s="8"/>
      <c r="AJ32" s="2"/>
      <c r="AR32" s="2"/>
    </row>
    <row r="33" spans="2:44" ht="11.25" customHeight="1" x14ac:dyDescent="0.2">
      <c r="B33" s="8"/>
      <c r="C33" s="8"/>
      <c r="D33" s="2"/>
      <c r="E33" s="15" t="s">
        <v>12</v>
      </c>
      <c r="F33" s="15" t="s">
        <v>13</v>
      </c>
      <c r="G33" s="15" t="s">
        <v>14</v>
      </c>
      <c r="H33" s="15" t="s">
        <v>15</v>
      </c>
      <c r="I33" s="15" t="s">
        <v>12</v>
      </c>
      <c r="J33" s="15" t="s">
        <v>14</v>
      </c>
      <c r="K33" s="15" t="s">
        <v>13</v>
      </c>
      <c r="L33" s="18"/>
      <c r="M33" s="15" t="s">
        <v>12</v>
      </c>
      <c r="N33" s="15" t="s">
        <v>13</v>
      </c>
      <c r="O33" s="15" t="s">
        <v>14</v>
      </c>
      <c r="P33" s="15" t="s">
        <v>15</v>
      </c>
      <c r="Q33" s="15" t="s">
        <v>12</v>
      </c>
      <c r="R33" s="15" t="s">
        <v>14</v>
      </c>
      <c r="S33" s="15" t="s">
        <v>13</v>
      </c>
      <c r="T33" s="2"/>
      <c r="U33" s="8"/>
      <c r="W33" s="40" t="s">
        <v>30</v>
      </c>
      <c r="Z33" s="8"/>
      <c r="AJ33" s="2"/>
      <c r="AR33" s="2"/>
    </row>
    <row r="34" spans="2:44" ht="11.25" customHeight="1" x14ac:dyDescent="0.2">
      <c r="B34" s="8"/>
      <c r="C34" s="8"/>
      <c r="D34" s="2"/>
      <c r="E34" s="5" t="str">
        <f>IF(DAY(JulSun1)=1,"",IF(AND(YEAR(JulSun1+1)=CalendarYear,MONTH(JulSun1+1)=7),JulSun1+1,""))</f>
        <v/>
      </c>
      <c r="F34" s="5" t="str">
        <f>IF(DAY(JulSun1)=1,"",IF(AND(YEAR(JulSun1+2)=CalendarYear,MONTH(JulSun1+2)=7),JulSun1+2,""))</f>
        <v/>
      </c>
      <c r="G34" s="5" t="str">
        <f>IF(DAY(JulSun1)=1,"",IF(AND(YEAR(JulSun1+3)=CalendarYear,MONTH(JulSun1+3)=7),JulSun1+3,""))</f>
        <v/>
      </c>
      <c r="H34" s="5" t="str">
        <f>IF(DAY(JulSun1)=1,"",IF(AND(YEAR(JulSun1+4)=CalendarYear,MONTH(JulSun1+4)=7),JulSun1+4,""))</f>
        <v/>
      </c>
      <c r="I34" s="5">
        <f>IF(DAY(JulSun1)=1,"",IF(AND(YEAR(JulSun1+5)=CalendarYear,MONTH(JulSun1+5)=7),JulSun1+5,""))</f>
        <v>42552</v>
      </c>
      <c r="J34" s="5">
        <f>IF(DAY(JulSun1)=1,"",IF(AND(YEAR(JulSun1+6)=CalendarYear,MONTH(JulSun1+6)=7),JulSun1+6,""))</f>
        <v>42553</v>
      </c>
      <c r="K34" s="5">
        <f>IF(DAY(JulSun1)=1,IF(AND(YEAR(JulSun1)=CalendarYear,MONTH(JulSun1)=7),JulSun1,""),IF(AND(YEAR(JulSun1+7)=CalendarYear,MONTH(JulSun1+7)=7),JulSun1+7,""))</f>
        <v>42554</v>
      </c>
      <c r="L34" s="2"/>
      <c r="M34" s="5">
        <f>IF(DAY(AugSun1)=1,"",IF(AND(YEAR(AugSun1+1)=CalendarYear,MONTH(AugSun1+1)=8),AugSun1+1,""))</f>
        <v>42583</v>
      </c>
      <c r="N34" s="5">
        <f>IF(DAY(AugSun1)=1,"",IF(AND(YEAR(AugSun1+2)=CalendarYear,MONTH(AugSun1+2)=8),AugSun1+2,""))</f>
        <v>42584</v>
      </c>
      <c r="O34" s="5">
        <f>IF(DAY(AugSun1)=1,"",IF(AND(YEAR(AugSun1+3)=CalendarYear,MONTH(AugSun1+3)=8),AugSun1+3,""))</f>
        <v>42585</v>
      </c>
      <c r="P34" s="21">
        <f>IF(DAY(AugSun1)=1,"",IF(AND(YEAR(AugSun1+4)=CalendarYear,MONTH(AugSun1+4)=8),AugSun1+4,""))</f>
        <v>42586</v>
      </c>
      <c r="Q34" s="21">
        <f>IF(DAY(AugSun1)=1,"",IF(AND(YEAR(AugSun1+5)=CalendarYear,MONTH(AugSun1+5)=8),AugSun1+5,""))</f>
        <v>42587</v>
      </c>
      <c r="R34" s="5">
        <f>IF(DAY(AugSun1)=1,"",IF(AND(YEAR(AugSun1+6)=CalendarYear,MONTH(AugSun1+6)=8),AugSun1+6,""))</f>
        <v>42588</v>
      </c>
      <c r="S34" s="5">
        <f>IF(DAY(AugSun1)=1,IF(AND(YEAR(AugSun1)=CalendarYear,MONTH(AugSun1)=8),AugSun1,""),IF(AND(YEAR(AugSun1+7)=CalendarYear,MONTH(AugSun1+7)=8),AugSun1+7,""))</f>
        <v>42589</v>
      </c>
      <c r="T34" s="2"/>
      <c r="U34" s="10"/>
      <c r="W34" s="40" t="s">
        <v>31</v>
      </c>
      <c r="X34" s="2"/>
      <c r="Y34" s="2"/>
      <c r="Z34" s="8"/>
      <c r="AA34" s="2"/>
      <c r="AJ34" s="2"/>
      <c r="AR34" s="2"/>
    </row>
    <row r="35" spans="2:44" ht="11.25" customHeight="1" x14ac:dyDescent="0.2">
      <c r="B35" s="8"/>
      <c r="C35" s="8"/>
      <c r="D35" s="2"/>
      <c r="E35" s="5">
        <f>IF(DAY(JulSun1)=1,IF(AND(YEAR(JulSun1+1)=CalendarYear,MONTH(JulSun1+1)=7),JulSun1+1,""),IF(AND(YEAR(JulSun1+8)=CalendarYear,MONTH(JulSun1+8)=7),JulSun1+8,""))</f>
        <v>42555</v>
      </c>
      <c r="F35" s="21">
        <f>IF(DAY(JulSun1)=1,IF(AND(YEAR(JulSun1+2)=CalendarYear,MONTH(JulSun1+2)=7),JulSun1+2,""),IF(AND(YEAR(JulSun1+9)=CalendarYear,MONTH(JulSun1+9)=7),JulSun1+9,""))</f>
        <v>42556</v>
      </c>
      <c r="G35" s="21">
        <f>IF(DAY(JulSun1)=1,IF(AND(YEAR(JulSun1+3)=CalendarYear,MONTH(JulSun1+3)=7),JulSun1+3,""),IF(AND(YEAR(JulSun1+10)=CalendarYear,MONTH(JulSun1+10)=7),JulSun1+10,""))</f>
        <v>42557</v>
      </c>
      <c r="H35" s="5">
        <f>IF(DAY(JulSun1)=1,IF(AND(YEAR(JulSun1+4)=CalendarYear,MONTH(JulSun1+4)=7),JulSun1+4,""),IF(AND(YEAR(JulSun1+11)=CalendarYear,MONTH(JulSun1+11)=7),JulSun1+11,""))</f>
        <v>42558</v>
      </c>
      <c r="I35" s="5">
        <f>IF(DAY(JulSun1)=1,IF(AND(YEAR(JulSun1+5)=CalendarYear,MONTH(JulSun1+5)=7),JulSun1+5,""),IF(AND(YEAR(JulSun1+12)=CalendarYear,MONTH(JulSun1+12)=7),JulSun1+12,""))</f>
        <v>42559</v>
      </c>
      <c r="J35" s="5">
        <f>IF(DAY(JulSun1)=1,IF(AND(YEAR(JulSun1+6)=CalendarYear,MONTH(JulSun1+6)=7),JulSun1+6,""),IF(AND(YEAR(JulSun1+13)=CalendarYear,MONTH(JulSun1+13)=7),JulSun1+13,""))</f>
        <v>42560</v>
      </c>
      <c r="K35" s="5">
        <f>IF(DAY(JulSun1)=1,IF(AND(YEAR(JulSun1+7)=CalendarYear,MONTH(JulSun1+7)=7),JulSun1+7,""),IF(AND(YEAR(JulSun1+14)=CalendarYear,MONTH(JulSun1+14)=7),JulSun1+14,""))</f>
        <v>42561</v>
      </c>
      <c r="M35" s="5">
        <f>IF(DAY(AugSun1)=1,IF(AND(YEAR(AugSun1+1)=CalendarYear,MONTH(AugSun1+1)=8),AugSun1+1,""),IF(AND(YEAR(AugSun1+8)=CalendarYear,MONTH(AugSun1+8)=8),AugSun1+8,""))</f>
        <v>42590</v>
      </c>
      <c r="N35" s="5">
        <f>IF(DAY(AugSun1)=1,IF(AND(YEAR(AugSun1+2)=CalendarYear,MONTH(AugSun1+2)=8),AugSun1+2,""),IF(AND(YEAR(AugSun1+9)=CalendarYear,MONTH(AugSun1+9)=8),AugSun1+9,""))</f>
        <v>42591</v>
      </c>
      <c r="O35" s="5">
        <f>IF(DAY(AugSun1)=1,IF(AND(YEAR(AugSun1+3)=CalendarYear,MONTH(AugSun1+3)=8),AugSun1+3,""),IF(AND(YEAR(AugSun1+10)=CalendarYear,MONTH(AugSun1+10)=8),AugSun1+10,""))</f>
        <v>42592</v>
      </c>
      <c r="P35" s="5">
        <f>IF(DAY(AugSun1)=1,IF(AND(YEAR(AugSun1+4)=CalendarYear,MONTH(AugSun1+4)=8),AugSun1+4,""),IF(AND(YEAR(AugSun1+11)=CalendarYear,MONTH(AugSun1+11)=8),AugSun1+11,""))</f>
        <v>42593</v>
      </c>
      <c r="Q35" s="5">
        <f>IF(DAY(AugSun1)=1,IF(AND(YEAR(AugSun1+5)=CalendarYear,MONTH(AugSun1+5)=8),AugSun1+5,""),IF(AND(YEAR(AugSun1+12)=CalendarYear,MONTH(AugSun1+12)=8),AugSun1+12,""))</f>
        <v>42594</v>
      </c>
      <c r="R35" s="5">
        <f>IF(DAY(AugSun1)=1,IF(AND(YEAR(AugSun1+6)=CalendarYear,MONTH(AugSun1+6)=8),AugSun1+6,""),IF(AND(YEAR(AugSun1+13)=CalendarYear,MONTH(AugSun1+13)=8),AugSun1+13,""))</f>
        <v>42595</v>
      </c>
      <c r="S35" s="5">
        <f>IF(DAY(AugSun1)=1,IF(AND(YEAR(AugSun1+7)=CalendarYear,MONTH(AugSun1+7)=8),AugSun1+7,""),IF(AND(YEAR(AugSun1+14)=CalendarYear,MONTH(AugSun1+14)=8),AugSun1+14,""))</f>
        <v>42596</v>
      </c>
      <c r="T35" s="2"/>
      <c r="U35" s="8"/>
      <c r="W35" s="42" t="s">
        <v>83</v>
      </c>
      <c r="Z35" s="8"/>
    </row>
    <row r="36" spans="2:44" ht="11.25" customHeight="1" x14ac:dyDescent="0.2">
      <c r="B36" s="8"/>
      <c r="C36" s="8"/>
      <c r="D36" s="2"/>
      <c r="E36" s="5">
        <f>IF(DAY(JulSun1)=1,IF(AND(YEAR(JulSun1+8)=CalendarYear,MONTH(JulSun1+8)=7),JulSun1+8,""),IF(AND(YEAR(JulSun1+15)=CalendarYear,MONTH(JulSun1+15)=7),JulSun1+15,""))</f>
        <v>42562</v>
      </c>
      <c r="F36" s="5">
        <f>IF(DAY(JulSun1)=1,IF(AND(YEAR(JulSun1+9)=CalendarYear,MONTH(JulSun1+9)=7),JulSun1+9,""),IF(AND(YEAR(JulSun1+16)=CalendarYear,MONTH(JulSun1+16)=7),JulSun1+16,""))</f>
        <v>42563</v>
      </c>
      <c r="G36" s="23">
        <f>IF(DAY(JulSun1)=1,IF(AND(YEAR(JulSun1+10)=CalendarYear,MONTH(JulSun1+10)=7),JulSun1+10,""),IF(AND(YEAR(JulSun1+17)=CalendarYear,MONTH(JulSun1+17)=7),JulSun1+17,""))</f>
        <v>42564</v>
      </c>
      <c r="H36" s="23">
        <f>IF(DAY(JulSun1)=1,IF(AND(YEAR(JulSun1+11)=CalendarYear,MONTH(JulSun1+11)=7),JulSun1+11,""),IF(AND(YEAR(JulSun1+18)=CalendarYear,MONTH(JulSun1+18)=7),JulSun1+18,""))</f>
        <v>42565</v>
      </c>
      <c r="I36" s="23">
        <f>IF(DAY(JulSun1)=1,IF(AND(YEAR(JulSun1+12)=CalendarYear,MONTH(JulSun1+12)=7),JulSun1+12,""),IF(AND(YEAR(JulSun1+19)=CalendarYear,MONTH(JulSun1+19)=7),JulSun1+19,""))</f>
        <v>42566</v>
      </c>
      <c r="J36" s="5">
        <f>IF(DAY(JulSun1)=1,IF(AND(YEAR(JulSun1+13)=CalendarYear,MONTH(JulSun1+13)=7),JulSun1+13,""),IF(AND(YEAR(JulSun1+20)=CalendarYear,MONTH(JulSun1+20)=7),JulSun1+20,""))</f>
        <v>42567</v>
      </c>
      <c r="K36" s="5">
        <f>IF(DAY(JulSun1)=1,IF(AND(YEAR(JulSun1+14)=CalendarYear,MONTH(JulSun1+14)=7),JulSun1+14,""),IF(AND(YEAR(JulSun1+21)=CalendarYear,MONTH(JulSun1+21)=7),JulSun1+21,""))</f>
        <v>42568</v>
      </c>
      <c r="M36" s="5">
        <f>IF(DAY(AugSun1)=1,IF(AND(YEAR(AugSun1+8)=CalendarYear,MONTH(AugSun1+8)=8),AugSun1+8,""),IF(AND(YEAR(AugSun1+15)=CalendarYear,MONTH(AugSun1+15)=8),AugSun1+15,""))</f>
        <v>42597</v>
      </c>
      <c r="N36" s="5">
        <f>IF(DAY(AugSun1)=1,IF(AND(YEAR(AugSun1+9)=CalendarYear,MONTH(AugSun1+9)=8),AugSun1+9,""),IF(AND(YEAR(AugSun1+16)=CalendarYear,MONTH(AugSun1+16)=8),AugSun1+16,""))</f>
        <v>42598</v>
      </c>
      <c r="O36" s="5">
        <f>IF(DAY(AugSun1)=1,IF(AND(YEAR(AugSun1+10)=CalendarYear,MONTH(AugSun1+10)=8),AugSun1+10,""),IF(AND(YEAR(AugSun1+17)=CalendarYear,MONTH(AugSun1+17)=8),AugSun1+17,""))</f>
        <v>42599</v>
      </c>
      <c r="P36" s="5">
        <f>IF(DAY(AugSun1)=1,IF(AND(YEAR(AugSun1+11)=CalendarYear,MONTH(AugSun1+11)=8),AugSun1+11,""),IF(AND(YEAR(AugSun1+18)=CalendarYear,MONTH(AugSun1+18)=8),AugSun1+18,""))</f>
        <v>42600</v>
      </c>
      <c r="Q36" s="5">
        <f>IF(DAY(AugSun1)=1,IF(AND(YEAR(AugSun1+12)=CalendarYear,MONTH(AugSun1+12)=8),AugSun1+12,""),IF(AND(YEAR(AugSun1+19)=CalendarYear,MONTH(AugSun1+19)=8),AugSun1+19,""))</f>
        <v>42601</v>
      </c>
      <c r="R36" s="5">
        <f>IF(DAY(AugSun1)=1,IF(AND(YEAR(AugSun1+13)=CalendarYear,MONTH(AugSun1+13)=8),AugSun1+13,""),IF(AND(YEAR(AugSun1+20)=CalendarYear,MONTH(AugSun1+20)=8),AugSun1+20,""))</f>
        <v>42602</v>
      </c>
      <c r="S36" s="5">
        <f>IF(DAY(AugSun1)=1,IF(AND(YEAR(AugSun1+14)=CalendarYear,MONTH(AugSun1+14)=8),AugSun1+14,""),IF(AND(YEAR(AugSun1+21)=CalendarYear,MONTH(AugSun1+21)=8),AugSun1+21,""))</f>
        <v>42603</v>
      </c>
      <c r="T36" s="2"/>
      <c r="U36" s="8"/>
      <c r="W36" s="40" t="s">
        <v>33</v>
      </c>
      <c r="Z36" s="8"/>
    </row>
    <row r="37" spans="2:44" ht="12.75" customHeight="1" x14ac:dyDescent="0.2">
      <c r="B37" s="8"/>
      <c r="C37" s="8"/>
      <c r="D37" s="2"/>
      <c r="E37" s="5">
        <f>IF(DAY(JulSun1)=1,IF(AND(YEAR(JulSun1+15)=CalendarYear,MONTH(JulSun1+15)=7),JulSun1+15,""),IF(AND(YEAR(JulSun1+22)=CalendarYear,MONTH(JulSun1+22)=7),JulSun1+22,""))</f>
        <v>42569</v>
      </c>
      <c r="F37" s="5">
        <f>IF(DAY(JulSun1)=1,IF(AND(YEAR(JulSun1+16)=CalendarYear,MONTH(JulSun1+16)=7),JulSun1+16,""),IF(AND(YEAR(JulSun1+23)=CalendarYear,MONTH(JulSun1+23)=7),JulSun1+23,""))</f>
        <v>42570</v>
      </c>
      <c r="G37" s="5">
        <f>IF(DAY(JulSun1)=1,IF(AND(YEAR(JulSun1+17)=CalendarYear,MONTH(JulSun1+17)=7),JulSun1+17,""),IF(AND(YEAR(JulSun1+24)=CalendarYear,MONTH(JulSun1+24)=7),JulSun1+24,""))</f>
        <v>42571</v>
      </c>
      <c r="H37" s="5">
        <f>IF(DAY(JulSun1)=1,IF(AND(YEAR(JulSun1+18)=CalendarYear,MONTH(JulSun1+18)=7),JulSun1+18,""),IF(AND(YEAR(JulSun1+25)=CalendarYear,MONTH(JulSun1+25)=7),JulSun1+25,""))</f>
        <v>42572</v>
      </c>
      <c r="I37" s="5">
        <f>IF(DAY(JulSun1)=1,IF(AND(YEAR(JulSun1+19)=CalendarYear,MONTH(JulSun1+19)=7),JulSun1+19,""),IF(AND(YEAR(JulSun1+26)=CalendarYear,MONTH(JulSun1+26)=7),JulSun1+26,""))</f>
        <v>42573</v>
      </c>
      <c r="J37" s="5">
        <f>IF(DAY(JulSun1)=1,IF(AND(YEAR(JulSun1+20)=CalendarYear,MONTH(JulSun1+20)=7),JulSun1+20,""),IF(AND(YEAR(JulSun1+27)=CalendarYear,MONTH(JulSun1+27)=7),JulSun1+27,""))</f>
        <v>42574</v>
      </c>
      <c r="K37" s="5">
        <f>IF(DAY(JulSun1)=1,IF(AND(YEAR(JulSun1+21)=CalendarYear,MONTH(JulSun1+21)=7),JulSun1+21,""),IF(AND(YEAR(JulSun1+28)=CalendarYear,MONTH(JulSun1+28)=7),JulSun1+28,""))</f>
        <v>42575</v>
      </c>
      <c r="M37" s="5">
        <f>IF(DAY(AugSun1)=1,IF(AND(YEAR(AugSun1+15)=CalendarYear,MONTH(AugSun1+15)=8),AugSun1+15,""),IF(AND(YEAR(AugSun1+22)=CalendarYear,MONTH(AugSun1+22)=8),AugSun1+22,""))</f>
        <v>42604</v>
      </c>
      <c r="N37" s="5">
        <f>IF(DAY(AugSun1)=1,IF(AND(YEAR(AugSun1+16)=CalendarYear,MONTH(AugSun1+16)=8),AugSun1+16,""),IF(AND(YEAR(AugSun1+23)=CalendarYear,MONTH(AugSun1+23)=8),AugSun1+23,""))</f>
        <v>42605</v>
      </c>
      <c r="O37" s="21">
        <f>IF(DAY(AugSun1)=1,IF(AND(YEAR(AugSun1+17)=CalendarYear,MONTH(AugSun1+17)=8),AugSun1+17,""),IF(AND(YEAR(AugSun1+24)=CalendarYear,MONTH(AugSun1+24)=8),AugSun1+24,""))</f>
        <v>42606</v>
      </c>
      <c r="P37" s="5">
        <f>IF(DAY(AugSun1)=1,IF(AND(YEAR(AugSun1+18)=CalendarYear,MONTH(AugSun1+18)=8),AugSun1+18,""),IF(AND(YEAR(AugSun1+25)=CalendarYear,MONTH(AugSun1+25)=8),AugSun1+25,""))</f>
        <v>42607</v>
      </c>
      <c r="Q37" s="5">
        <f>IF(DAY(AugSun1)=1,IF(AND(YEAR(AugSun1+19)=CalendarYear,MONTH(AugSun1+19)=8),AugSun1+19,""),IF(AND(YEAR(AugSun1+26)=CalendarYear,MONTH(AugSun1+26)=8),AugSun1+26,""))</f>
        <v>42608</v>
      </c>
      <c r="R37" s="5">
        <f>IF(DAY(AugSun1)=1,IF(AND(YEAR(AugSun1+20)=CalendarYear,MONTH(AugSun1+20)=8),AugSun1+20,""),IF(AND(YEAR(AugSun1+27)=CalendarYear,MONTH(AugSun1+27)=8),AugSun1+27,""))</f>
        <v>42609</v>
      </c>
      <c r="S37" s="5">
        <f>IF(DAY(AugSun1)=1,IF(AND(YEAR(AugSun1+21)=CalendarYear,MONTH(AugSun1+21)=8),AugSun1+21,""),IF(AND(YEAR(AugSun1+28)=CalendarYear,MONTH(AugSun1+28)=8),AugSun1+28,""))</f>
        <v>42610</v>
      </c>
      <c r="U37" s="8"/>
      <c r="W37" s="42" t="s">
        <v>89</v>
      </c>
      <c r="Z37" s="8"/>
    </row>
    <row r="38" spans="2:44" ht="11.25" customHeight="1" x14ac:dyDescent="0.2">
      <c r="B38" s="8"/>
      <c r="C38" s="8"/>
      <c r="E38" s="5">
        <f>IF(DAY(JulSun1)=1,IF(AND(YEAR(JulSun1+22)=CalendarYear,MONTH(JulSun1+22)=7),JulSun1+22,""),IF(AND(YEAR(JulSun1+29)=CalendarYear,MONTH(JulSun1+29)=7),JulSun1+29,""))</f>
        <v>42576</v>
      </c>
      <c r="F38" s="21">
        <f>IF(DAY(JulSun1)=1,IF(AND(YEAR(JulSun1+23)=CalendarYear,MONTH(JulSun1+23)=7),JulSun1+23,""),IF(AND(YEAR(JulSun1+30)=CalendarYear,MONTH(JulSun1+30)=7),JulSun1+30,""))</f>
        <v>42577</v>
      </c>
      <c r="G38" s="21">
        <f>IF(DAY(JulSun1)=1,IF(AND(YEAR(JulSun1+24)=CalendarYear,MONTH(JulSun1+24)=7),JulSun1+24,""),IF(AND(YEAR(JulSun1+31)=CalendarYear,MONTH(JulSun1+31)=7),JulSun1+31,""))</f>
        <v>42578</v>
      </c>
      <c r="H38" s="21">
        <f>IF(DAY(JulSun1)=1,IF(AND(YEAR(JulSun1+25)=CalendarYear,MONTH(JulSun1+25)=7),JulSun1+25,""),IF(AND(YEAR(JulSun1+32)=CalendarYear,MONTH(JulSun1+32)=7),JulSun1+32,""))</f>
        <v>42579</v>
      </c>
      <c r="I38" s="21">
        <f>IF(DAY(JulSun1)=1,IF(AND(YEAR(JulSun1+26)=CalendarYear,MONTH(JulSun1+26)=7),JulSun1+26,""),IF(AND(YEAR(JulSun1+33)=CalendarYear,MONTH(JulSun1+33)=7),JulSun1+33,""))</f>
        <v>42580</v>
      </c>
      <c r="J38" s="5">
        <f>IF(DAY(JulSun1)=1,IF(AND(YEAR(JulSun1+27)=CalendarYear,MONTH(JulSun1+27)=7),JulSun1+27,""),IF(AND(YEAR(JulSun1+34)=CalendarYear,MONTH(JulSun1+34)=7),JulSun1+34,""))</f>
        <v>42581</v>
      </c>
      <c r="K38" s="5">
        <f>IF(DAY(JulSun1)=1,IF(AND(YEAR(JulSun1+28)=CalendarYear,MONTH(JulSun1+28)=7),JulSun1+28,""),IF(AND(YEAR(JulSun1+35)=CalendarYear,MONTH(JulSun1+35)=7),JulSun1+35,""))</f>
        <v>42582</v>
      </c>
      <c r="M38" s="5">
        <f>IF(DAY(AugSun1)=1,IF(AND(YEAR(AugSun1+22)=CalendarYear,MONTH(AugSun1+22)=8),AugSun1+22,""),IF(AND(YEAR(AugSun1+29)=CalendarYear,MONTH(AugSun1+29)=8),AugSun1+29,""))</f>
        <v>42611</v>
      </c>
      <c r="N38" s="5">
        <f>IF(DAY(AugSun1)=1,IF(AND(YEAR(AugSun1+23)=CalendarYear,MONTH(AugSun1+23)=8),AugSun1+23,""),IF(AND(YEAR(AugSun1+30)=CalendarYear,MONTH(AugSun1+30)=8),AugSun1+30,""))</f>
        <v>42612</v>
      </c>
      <c r="O38" s="5">
        <f>IF(DAY(AugSun1)=1,IF(AND(YEAR(AugSun1+24)=CalendarYear,MONTH(AugSun1+24)=8),AugSun1+24,""),IF(AND(YEAR(AugSun1+31)=CalendarYear,MONTH(AugSun1+31)=8),AugSun1+31,""))</f>
        <v>42613</v>
      </c>
      <c r="P38" s="5" t="str">
        <f>IF(DAY(AugSun1)=1,IF(AND(YEAR(AugSun1+25)=CalendarYear,MONTH(AugSun1+25)=8),AugSun1+25,""),IF(AND(YEAR(AugSun1+32)=CalendarYear,MONTH(AugSun1+32)=8),AugSun1+32,""))</f>
        <v/>
      </c>
      <c r="Q38" s="5" t="str">
        <f>IF(DAY(AugSun1)=1,IF(AND(YEAR(AugSun1+26)=CalendarYear,MONTH(AugSun1+26)=8),AugSun1+26,""),IF(AND(YEAR(AugSun1+33)=CalendarYear,MONTH(AugSun1+33)=8),AugSun1+33,""))</f>
        <v/>
      </c>
      <c r="R38" s="5" t="str">
        <f>IF(DAY(AugSun1)=1,IF(AND(YEAR(AugSun1+27)=CalendarYear,MONTH(AugSun1+27)=8),AugSun1+27,""),IF(AND(YEAR(AugSun1+34)=CalendarYear,MONTH(AugSun1+34)=8),AugSun1+34,""))</f>
        <v/>
      </c>
      <c r="S38" s="5" t="str">
        <f>IF(DAY(AugSun1)=1,IF(AND(YEAR(AugSun1+28)=CalendarYear,MONTH(AugSun1+28)=8),AugSun1+28,""),IF(AND(YEAR(AugSun1+35)=CalendarYear,MONTH(AugSun1+35)=8),AugSun1+35,""))</f>
        <v/>
      </c>
      <c r="U38" s="8"/>
      <c r="W38" s="40" t="s">
        <v>28</v>
      </c>
      <c r="Z38" s="8"/>
    </row>
    <row r="39" spans="2:44" ht="10.15" customHeight="1" x14ac:dyDescent="0.2">
      <c r="B39" s="8"/>
      <c r="C39" s="8"/>
      <c r="U39" s="8"/>
      <c r="W39" s="43" t="s">
        <v>41</v>
      </c>
      <c r="Z39" s="8"/>
    </row>
    <row r="40" spans="2:44" ht="11.25" customHeight="1" x14ac:dyDescent="0.25">
      <c r="B40" s="8"/>
      <c r="C40" s="8"/>
      <c r="E40" s="14" t="s">
        <v>8</v>
      </c>
      <c r="F40" s="13"/>
      <c r="G40" s="13"/>
      <c r="H40" s="13"/>
      <c r="I40" s="13"/>
      <c r="J40" s="13"/>
      <c r="K40" s="13"/>
      <c r="L40" s="19"/>
      <c r="M40" s="14" t="s">
        <v>9</v>
      </c>
      <c r="N40" s="13"/>
      <c r="O40" s="13"/>
      <c r="P40" s="13"/>
      <c r="Q40" s="13"/>
      <c r="R40" s="13"/>
      <c r="S40" s="13"/>
      <c r="U40" s="8"/>
      <c r="W40" s="40" t="s">
        <v>33</v>
      </c>
      <c r="Z40" s="8"/>
    </row>
    <row r="41" spans="2:44" ht="11.25" customHeight="1" x14ac:dyDescent="0.2">
      <c r="B41" s="8"/>
      <c r="C41" s="8"/>
      <c r="E41" s="15" t="s">
        <v>12</v>
      </c>
      <c r="F41" s="15" t="s">
        <v>13</v>
      </c>
      <c r="G41" s="15" t="s">
        <v>14</v>
      </c>
      <c r="H41" s="15" t="s">
        <v>15</v>
      </c>
      <c r="I41" s="15" t="s">
        <v>12</v>
      </c>
      <c r="J41" s="15" t="s">
        <v>14</v>
      </c>
      <c r="K41" s="15" t="s">
        <v>13</v>
      </c>
      <c r="L41" s="19"/>
      <c r="M41" s="15" t="s">
        <v>12</v>
      </c>
      <c r="N41" s="15" t="s">
        <v>13</v>
      </c>
      <c r="O41" s="15" t="s">
        <v>14</v>
      </c>
      <c r="P41" s="15" t="s">
        <v>15</v>
      </c>
      <c r="Q41" s="15" t="s">
        <v>12</v>
      </c>
      <c r="R41" s="15" t="s">
        <v>14</v>
      </c>
      <c r="S41" s="15" t="s">
        <v>13</v>
      </c>
      <c r="U41" s="8"/>
      <c r="W41" s="42" t="s">
        <v>84</v>
      </c>
      <c r="Z41" s="8"/>
    </row>
    <row r="42" spans="2:44" ht="12" customHeight="1" x14ac:dyDescent="0.2">
      <c r="B42" s="8"/>
      <c r="C42" s="8"/>
      <c r="E42" s="5" t="str">
        <f>IF(DAY(SepSun1)=1,"",IF(AND(YEAR(SepSun1+1)=CalendarYear,MONTH(SepSun1+1)=9),SepSun1+1,""))</f>
        <v/>
      </c>
      <c r="F42" s="5" t="str">
        <f>IF(DAY(SepSun1)=1,"",IF(AND(YEAR(SepSun1+2)=CalendarYear,MONTH(SepSun1+2)=9),SepSun1+2,""))</f>
        <v/>
      </c>
      <c r="G42" s="5" t="str">
        <f>IF(DAY(SepSun1)=1,"",IF(AND(YEAR(SepSun1+3)=CalendarYear,MONTH(SepSun1+3)=9),SepSun1+3,""))</f>
        <v/>
      </c>
      <c r="H42" s="5">
        <f>IF(DAY(SepSun1)=1,"",IF(AND(YEAR(SepSun1+4)=CalendarYear,MONTH(SepSun1+4)=9),SepSun1+4,""))</f>
        <v>42614</v>
      </c>
      <c r="I42" s="5">
        <f>IF(DAY(SepSun1)=1,"",IF(AND(YEAR(SepSun1+5)=CalendarYear,MONTH(SepSun1+5)=9),SepSun1+5,""))</f>
        <v>42615</v>
      </c>
      <c r="J42" s="5">
        <f>IF(DAY(SepSun1)=1,"",IF(AND(YEAR(SepSun1+6)=CalendarYear,MONTH(SepSun1+6)=9),SepSun1+6,""))</f>
        <v>42616</v>
      </c>
      <c r="K42" s="5">
        <f>IF(DAY(SepSun1)=1,IF(AND(YEAR(SepSun1)=CalendarYear,MONTH(SepSun1)=9),SepSun1,""),IF(AND(YEAR(SepSun1+7)=CalendarYear,MONTH(SepSun1+7)=9),SepSun1+7,""))</f>
        <v>42617</v>
      </c>
      <c r="M42" s="5" t="str">
        <f>IF(DAY(OctSun1)=1,"",IF(AND(YEAR(OctSun1+1)=CalendarYear,MONTH(OctSun1+1)=10),OctSun1+1,""))</f>
        <v/>
      </c>
      <c r="N42" s="5" t="str">
        <f>IF(DAY(OctSun1)=1,"",IF(AND(YEAR(OctSun1+2)=CalendarYear,MONTH(OctSun1+2)=10),OctSun1+2,""))</f>
        <v/>
      </c>
      <c r="O42" s="5" t="str">
        <f>IF(DAY(OctSun1)=1,"",IF(AND(YEAR(OctSun1+3)=CalendarYear,MONTH(OctSun1+3)=10),OctSun1+3,""))</f>
        <v/>
      </c>
      <c r="P42" s="5" t="str">
        <f>IF(DAY(OctSun1)=1,"",IF(AND(YEAR(OctSun1+4)=CalendarYear,MONTH(OctSun1+4)=10),OctSun1+4,""))</f>
        <v/>
      </c>
      <c r="Q42" s="5" t="str">
        <f>IF(DAY(OctSun1)=1,"",IF(AND(YEAR(OctSun1+5)=CalendarYear,MONTH(OctSun1+5)=10),OctSun1+5,""))</f>
        <v/>
      </c>
      <c r="R42" s="5">
        <f>IF(DAY(OctSun1)=1,"",IF(AND(YEAR(OctSun1+6)=CalendarYear,MONTH(OctSun1+6)=10),OctSun1+6,""))</f>
        <v>42644</v>
      </c>
      <c r="S42" s="5">
        <f>IF(DAY(OctSun1)=1,IF(AND(YEAR(OctSun1)=CalendarYear,MONTH(OctSun1)=10),OctSun1,""),IF(AND(YEAR(OctSun1+7)=CalendarYear,MONTH(OctSun1+7)=10),OctSun1+7,""))</f>
        <v>42645</v>
      </c>
      <c r="U42" s="8"/>
      <c r="W42" s="40" t="s">
        <v>34</v>
      </c>
      <c r="Z42" s="8"/>
    </row>
    <row r="43" spans="2:44" ht="11.25" customHeight="1" x14ac:dyDescent="0.2">
      <c r="B43" s="8"/>
      <c r="C43" s="8"/>
      <c r="E43" s="5">
        <f>IF(DAY(SepSun1)=1,IF(AND(YEAR(SepSun1+1)=CalendarYear,MONTH(SepSun1+1)=9),SepSun1+1,""),IF(AND(YEAR(SepSun1+8)=CalendarYear,MONTH(SepSun1+8)=9),SepSun1+8,""))</f>
        <v>42618</v>
      </c>
      <c r="F43" s="5">
        <f>IF(DAY(SepSun1)=1,IF(AND(YEAR(SepSun1+2)=CalendarYear,MONTH(SepSun1+2)=9),SepSun1+2,""),IF(AND(YEAR(SepSun1+9)=CalendarYear,MONTH(SepSun1+9)=9),SepSun1+9,""))</f>
        <v>42619</v>
      </c>
      <c r="G43" s="21">
        <f>IF(DAY(SepSun1)=1,IF(AND(YEAR(SepSun1+3)=CalendarYear,MONTH(SepSun1+3)=9),SepSun1+3,""),IF(AND(YEAR(SepSun1+10)=CalendarYear,MONTH(SepSun1+10)=9),SepSun1+10,""))</f>
        <v>42620</v>
      </c>
      <c r="H43" s="21">
        <f>IF(DAY(SepSun1)=1,IF(AND(YEAR(SepSun1+4)=CalendarYear,MONTH(SepSun1+4)=9),SepSun1+4,""),IF(AND(YEAR(SepSun1+11)=CalendarYear,MONTH(SepSun1+11)=9),SepSun1+11,""))</f>
        <v>42621</v>
      </c>
      <c r="I43" s="21">
        <f>IF(DAY(SepSun1)=1,IF(AND(YEAR(SepSun1+5)=CalendarYear,MONTH(SepSun1+5)=9),SepSun1+5,""),IF(AND(YEAR(SepSun1+12)=CalendarYear,MONTH(SepSun1+12)=9),SepSun1+12,""))</f>
        <v>42622</v>
      </c>
      <c r="J43" s="5">
        <f>IF(DAY(SepSun1)=1,IF(AND(YEAR(SepSun1+6)=CalendarYear,MONTH(SepSun1+6)=9),SepSun1+6,""),IF(AND(YEAR(SepSun1+13)=CalendarYear,MONTH(SepSun1+13)=9),SepSun1+13,""))</f>
        <v>42623</v>
      </c>
      <c r="K43" s="5">
        <f>IF(DAY(SepSun1)=1,IF(AND(YEAR(SepSun1+7)=CalendarYear,MONTH(SepSun1+7)=9),SepSun1+7,""),IF(AND(YEAR(SepSun1+14)=CalendarYear,MONTH(SepSun1+14)=9),SepSun1+14,""))</f>
        <v>42624</v>
      </c>
      <c r="M43" s="5">
        <f>IF(DAY(OctSun1)=1,IF(AND(YEAR(OctSun1+1)=CalendarYear,MONTH(OctSun1+1)=10),OctSun1+1,""),IF(AND(YEAR(OctSun1+8)=CalendarYear,MONTH(OctSun1+8)=10),OctSun1+8,""))</f>
        <v>42646</v>
      </c>
      <c r="N43" s="21">
        <f>IF(DAY(OctSun1)=1,IF(AND(YEAR(OctSun1+2)=CalendarYear,MONTH(OctSun1+2)=10),OctSun1+2,""),IF(AND(YEAR(OctSun1+9)=CalendarYear,MONTH(OctSun1+9)=10),OctSun1+9,""))</f>
        <v>42647</v>
      </c>
      <c r="O43" s="21">
        <f>IF(DAY(OctSun1)=1,IF(AND(YEAR(OctSun1+3)=CalendarYear,MONTH(OctSun1+3)=10),OctSun1+3,""),IF(AND(YEAR(OctSun1+10)=CalendarYear,MONTH(OctSun1+10)=10),OctSun1+10,""))</f>
        <v>42648</v>
      </c>
      <c r="P43" s="21">
        <f>IF(DAY(OctSun1)=1,IF(AND(YEAR(OctSun1+4)=CalendarYear,MONTH(OctSun1+4)=10),OctSun1+4,""),IF(AND(YEAR(OctSun1+11)=CalendarYear,MONTH(OctSun1+11)=10),OctSun1+11,""))</f>
        <v>42649</v>
      </c>
      <c r="Q43" s="21">
        <f>IF(DAY(OctSun1)=1,IF(AND(YEAR(OctSun1+5)=CalendarYear,MONTH(OctSun1+5)=10),OctSun1+5,""),IF(AND(YEAR(OctSun1+12)=CalendarYear,MONTH(OctSun1+12)=10),OctSun1+12,""))</f>
        <v>42650</v>
      </c>
      <c r="R43" s="5">
        <f>IF(DAY(OctSun1)=1,IF(AND(YEAR(OctSun1+6)=CalendarYear,MONTH(OctSun1+6)=10),OctSun1+6,""),IF(AND(YEAR(OctSun1+13)=CalendarYear,MONTH(OctSun1+13)=10),OctSun1+13,""))</f>
        <v>42651</v>
      </c>
      <c r="S43" s="5">
        <f>IF(DAY(OctSun1)=1,IF(AND(YEAR(OctSun1+7)=CalendarYear,MONTH(OctSun1+7)=10),OctSun1+7,""),IF(AND(YEAR(OctSun1+14)=CalendarYear,MONTH(OctSun1+14)=10),OctSun1+14,""))</f>
        <v>42652</v>
      </c>
      <c r="U43" s="8"/>
      <c r="W43" s="42" t="s">
        <v>85</v>
      </c>
      <c r="Z43" s="8"/>
    </row>
    <row r="44" spans="2:44" ht="11.25" customHeight="1" x14ac:dyDescent="0.2">
      <c r="B44" s="8"/>
      <c r="C44" s="8"/>
      <c r="E44" s="5">
        <f>IF(DAY(SepSun1)=1,IF(AND(YEAR(SepSun1+8)=CalendarYear,MONTH(SepSun1+8)=9),SepSun1+8,""),IF(AND(YEAR(SepSun1+15)=CalendarYear,MONTH(SepSun1+15)=9),SepSun1+15,""))</f>
        <v>42625</v>
      </c>
      <c r="F44" s="5">
        <f>IF(DAY(SepSun1)=1,IF(AND(YEAR(SepSun1+9)=CalendarYear,MONTH(SepSun1+9)=9),SepSun1+9,""),IF(AND(YEAR(SepSun1+16)=CalendarYear,MONTH(SepSun1+16)=9),SepSun1+16,""))</f>
        <v>42626</v>
      </c>
      <c r="G44" s="5">
        <f>IF(DAY(SepSun1)=1,IF(AND(YEAR(SepSun1+10)=CalendarYear,MONTH(SepSun1+10)=9),SepSun1+10,""),IF(AND(YEAR(SepSun1+17)=CalendarYear,MONTH(SepSun1+17)=9),SepSun1+17,""))</f>
        <v>42627</v>
      </c>
      <c r="H44" s="5">
        <f>IF(DAY(SepSun1)=1,IF(AND(YEAR(SepSun1+11)=CalendarYear,MONTH(SepSun1+11)=9),SepSun1+11,""),IF(AND(YEAR(SepSun1+18)=CalendarYear,MONTH(SepSun1+18)=9),SepSun1+18,""))</f>
        <v>42628</v>
      </c>
      <c r="I44" s="5">
        <f>IF(DAY(SepSun1)=1,IF(AND(YEAR(SepSun1+12)=CalendarYear,MONTH(SepSun1+12)=9),SepSun1+12,""),IF(AND(YEAR(SepSun1+19)=CalendarYear,MONTH(SepSun1+19)=9),SepSun1+19,""))</f>
        <v>42629</v>
      </c>
      <c r="J44" s="5">
        <f>IF(DAY(SepSun1)=1,IF(AND(YEAR(SepSun1+13)=CalendarYear,MONTH(SepSun1+13)=9),SepSun1+13,""),IF(AND(YEAR(SepSun1+20)=CalendarYear,MONTH(SepSun1+20)=9),SepSun1+20,""))</f>
        <v>42630</v>
      </c>
      <c r="K44" s="5">
        <f>IF(DAY(SepSun1)=1,IF(AND(YEAR(SepSun1+14)=CalendarYear,MONTH(SepSun1+14)=9),SepSun1+14,""),IF(AND(YEAR(SepSun1+21)=CalendarYear,MONTH(SepSun1+21)=9),SepSun1+21,""))</f>
        <v>42631</v>
      </c>
      <c r="M44" s="5">
        <f>IF(DAY(OctSun1)=1,IF(AND(YEAR(OctSun1+8)=CalendarYear,MONTH(OctSun1+8)=10),OctSun1+8,""),IF(AND(YEAR(OctSun1+15)=CalendarYear,MONTH(OctSun1+15)=10),OctSun1+15,""))</f>
        <v>42653</v>
      </c>
      <c r="N44" s="5">
        <f>IF(DAY(OctSun1)=1,IF(AND(YEAR(OctSun1+9)=CalendarYear,MONTH(OctSun1+9)=10),OctSun1+9,""),IF(AND(YEAR(OctSun1+16)=CalendarYear,MONTH(OctSun1+16)=10),OctSun1+16,""))</f>
        <v>42654</v>
      </c>
      <c r="O44" s="5">
        <f>IF(DAY(OctSun1)=1,IF(AND(YEAR(OctSun1+10)=CalendarYear,MONTH(OctSun1+10)=10),OctSun1+10,""),IF(AND(YEAR(OctSun1+17)=CalendarYear,MONTH(OctSun1+17)=10),OctSun1+17,""))</f>
        <v>42655</v>
      </c>
      <c r="P44" s="21">
        <f>IF(DAY(OctSun1)=1,IF(AND(YEAR(OctSun1+11)=CalendarYear,MONTH(OctSun1+11)=10),OctSun1+11,""),IF(AND(YEAR(OctSun1+18)=CalendarYear,MONTH(OctSun1+18)=10),OctSun1+18,""))</f>
        <v>42656</v>
      </c>
      <c r="Q44" s="5">
        <f>IF(DAY(OctSun1)=1,IF(AND(YEAR(OctSun1+12)=CalendarYear,MONTH(OctSun1+12)=10),OctSun1+12,""),IF(AND(YEAR(OctSun1+19)=CalendarYear,MONTH(OctSun1+19)=10),OctSun1+19,""))</f>
        <v>42657</v>
      </c>
      <c r="R44" s="5">
        <f>IF(DAY(OctSun1)=1,IF(AND(YEAR(OctSun1+13)=CalendarYear,MONTH(OctSun1+13)=10),OctSun1+13,""),IF(AND(YEAR(OctSun1+20)=CalendarYear,MONTH(OctSun1+20)=10),OctSun1+20,""))</f>
        <v>42658</v>
      </c>
      <c r="S44" s="5">
        <f>IF(DAY(OctSun1)=1,IF(AND(YEAR(OctSun1+14)=CalendarYear,MONTH(OctSun1+14)=10),OctSun1+14,""),IF(AND(YEAR(OctSun1+21)=CalendarYear,MONTH(OctSun1+21)=10),OctSun1+21,""))</f>
        <v>42659</v>
      </c>
      <c r="U44" s="8"/>
      <c r="W44" s="40" t="s">
        <v>35</v>
      </c>
      <c r="Z44" s="8"/>
    </row>
    <row r="45" spans="2:44" ht="11.25" customHeight="1" x14ac:dyDescent="0.2">
      <c r="B45" s="8"/>
      <c r="C45" s="8"/>
      <c r="E45" s="5">
        <f>IF(DAY(SepSun1)=1,IF(AND(YEAR(SepSun1+15)=CalendarYear,MONTH(SepSun1+15)=9),SepSun1+15,""),IF(AND(YEAR(SepSun1+22)=CalendarYear,MONTH(SepSun1+22)=9),SepSun1+22,""))</f>
        <v>42632</v>
      </c>
      <c r="F45" s="5">
        <f>IF(DAY(SepSun1)=1,IF(AND(YEAR(SepSun1+16)=CalendarYear,MONTH(SepSun1+16)=9),SepSun1+16,""),IF(AND(YEAR(SepSun1+23)=CalendarYear,MONTH(SepSun1+23)=9),SepSun1+23,""))</f>
        <v>42633</v>
      </c>
      <c r="G45" s="5">
        <f>IF(DAY(SepSun1)=1,IF(AND(YEAR(SepSun1+17)=CalendarYear,MONTH(SepSun1+17)=9),SepSun1+17,""),IF(AND(YEAR(SepSun1+24)=CalendarYear,MONTH(SepSun1+24)=9),SepSun1+24,""))</f>
        <v>42634</v>
      </c>
      <c r="H45" s="5">
        <f>IF(DAY(SepSun1)=1,IF(AND(YEAR(SepSun1+18)=CalendarYear,MONTH(SepSun1+18)=9),SepSun1+18,""),IF(AND(YEAR(SepSun1+25)=CalendarYear,MONTH(SepSun1+25)=9),SepSun1+25,""))</f>
        <v>42635</v>
      </c>
      <c r="I45" s="5">
        <f>IF(DAY(SepSun1)=1,IF(AND(YEAR(SepSun1+19)=CalendarYear,MONTH(SepSun1+19)=9),SepSun1+19,""),IF(AND(YEAR(SepSun1+26)=CalendarYear,MONTH(SepSun1+26)=9),SepSun1+26,""))</f>
        <v>42636</v>
      </c>
      <c r="J45" s="5">
        <f>IF(DAY(SepSun1)=1,IF(AND(YEAR(SepSun1+20)=CalendarYear,MONTH(SepSun1+20)=9),SepSun1+20,""),IF(AND(YEAR(SepSun1+27)=CalendarYear,MONTH(SepSun1+27)=9),SepSun1+27,""))</f>
        <v>42637</v>
      </c>
      <c r="K45" s="5">
        <f>IF(DAY(SepSun1)=1,IF(AND(YEAR(SepSun1+21)=CalendarYear,MONTH(SepSun1+21)=9),SepSun1+21,""),IF(AND(YEAR(SepSun1+28)=CalendarYear,MONTH(SepSun1+28)=9),SepSun1+28,""))</f>
        <v>42638</v>
      </c>
      <c r="M45" s="5">
        <f>IF(DAY(OctSun1)=1,IF(AND(YEAR(OctSun1+15)=CalendarYear,MONTH(OctSun1+15)=10),OctSun1+15,""),IF(AND(YEAR(OctSun1+22)=CalendarYear,MONTH(OctSun1+22)=10),OctSun1+22,""))</f>
        <v>42660</v>
      </c>
      <c r="N45" s="5">
        <f>IF(DAY(OctSun1)=1,IF(AND(YEAR(OctSun1+16)=CalendarYear,MONTH(OctSun1+16)=10),OctSun1+16,""),IF(AND(YEAR(OctSun1+23)=CalendarYear,MONTH(OctSun1+23)=10),OctSun1+23,""))</f>
        <v>42661</v>
      </c>
      <c r="O45" s="5">
        <f>IF(DAY(OctSun1)=1,IF(AND(YEAR(OctSun1+17)=CalendarYear,MONTH(OctSun1+17)=10),OctSun1+17,""),IF(AND(YEAR(OctSun1+24)=CalendarYear,MONTH(OctSun1+24)=10),OctSun1+24,""))</f>
        <v>42662</v>
      </c>
      <c r="P45" s="38">
        <f>IF(DAY(OctSun1)=1,IF(AND(YEAR(OctSun1+18)=CalendarYear,MONTH(OctSun1+18)=10),OctSun1+18,""),IF(AND(YEAR(OctSun1+25)=CalendarYear,MONTH(OctSun1+25)=10),OctSun1+25,""))</f>
        <v>42663</v>
      </c>
      <c r="Q45" s="5">
        <f>IF(DAY(OctSun1)=1,IF(AND(YEAR(OctSun1+19)=CalendarYear,MONTH(OctSun1+19)=10),OctSun1+19,""),IF(AND(YEAR(OctSun1+26)=CalendarYear,MONTH(OctSun1+26)=10),OctSun1+26,""))</f>
        <v>42664</v>
      </c>
      <c r="R45" s="5">
        <f>IF(DAY(OctSun1)=1,IF(AND(YEAR(OctSun1+20)=CalendarYear,MONTH(OctSun1+20)=10),OctSun1+20,""),IF(AND(YEAR(OctSun1+27)=CalendarYear,MONTH(OctSun1+27)=10),OctSun1+27,""))</f>
        <v>42665</v>
      </c>
      <c r="S45" s="5">
        <f>IF(DAY(OctSun1)=1,IF(AND(YEAR(OctSun1+21)=CalendarYear,MONTH(OctSun1+21)=10),OctSun1+21,""),IF(AND(YEAR(OctSun1+28)=CalendarYear,MONTH(OctSun1+28)=10),OctSun1+28,""))</f>
        <v>42666</v>
      </c>
      <c r="U45" s="8"/>
      <c r="W45" s="42" t="s">
        <v>42</v>
      </c>
      <c r="Z45" s="8"/>
    </row>
    <row r="46" spans="2:44" ht="12.75" customHeight="1" x14ac:dyDescent="0.2">
      <c r="B46" s="8"/>
      <c r="C46" s="8"/>
      <c r="E46" s="5">
        <f>IF(DAY(SepSun1)=1,IF(AND(YEAR(SepSun1+22)=CalendarYear,MONTH(SepSun1+22)=9),SepSun1+22,""),IF(AND(YEAR(SepSun1+29)=CalendarYear,MONTH(SepSun1+29)=9),SepSun1+29,""))</f>
        <v>42639</v>
      </c>
      <c r="F46" s="5">
        <f>IF(DAY(SepSun1)=1,IF(AND(YEAR(SepSun1+23)=CalendarYear,MONTH(SepSun1+23)=9),SepSun1+23,""),IF(AND(YEAR(SepSun1+30)=CalendarYear,MONTH(SepSun1+30)=9),SepSun1+30,""))</f>
        <v>42640</v>
      </c>
      <c r="G46" s="5">
        <f>IF(DAY(SepSun1)=1,IF(AND(YEAR(SepSun1+24)=CalendarYear,MONTH(SepSun1+24)=9),SepSun1+24,""),IF(AND(YEAR(SepSun1+31)=CalendarYear,MONTH(SepSun1+31)=9),SepSun1+31,""))</f>
        <v>42641</v>
      </c>
      <c r="H46" s="5">
        <f>IF(DAY(SepSun1)=1,IF(AND(YEAR(SepSun1+25)=CalendarYear,MONTH(SepSun1+25)=9),SepSun1+25,""),IF(AND(YEAR(SepSun1+32)=CalendarYear,MONTH(SepSun1+32)=9),SepSun1+32,""))</f>
        <v>42642</v>
      </c>
      <c r="I46" s="5">
        <f>IF(DAY(SepSun1)=1,IF(AND(YEAR(SepSun1+26)=CalendarYear,MONTH(SepSun1+26)=9),SepSun1+26,""),IF(AND(YEAR(SepSun1+33)=CalendarYear,MONTH(SepSun1+33)=9),SepSun1+33,""))</f>
        <v>42643</v>
      </c>
      <c r="J46" s="5" t="str">
        <f>IF(DAY(SepSun1)=1,IF(AND(YEAR(SepSun1+27)=CalendarYear,MONTH(SepSun1+27)=9),SepSun1+27,""),IF(AND(YEAR(SepSun1+34)=CalendarYear,MONTH(SepSun1+34)=9),SepSun1+34,""))</f>
        <v/>
      </c>
      <c r="K46" s="5" t="str">
        <f>IF(DAY(SepSun1)=1,IF(AND(YEAR(SepSun1+28)=CalendarYear,MONTH(SepSun1+28)=9),SepSun1+28,""),IF(AND(YEAR(SepSun1+35)=CalendarYear,MONTH(SepSun1+35)=9),SepSun1+35,""))</f>
        <v/>
      </c>
      <c r="M46" s="5">
        <f>IF(DAY(OctSun1)=1,IF(AND(YEAR(OctSun1+22)=CalendarYear,MONTH(OctSun1+22)=10),OctSun1+22,""),IF(AND(YEAR(OctSun1+29)=CalendarYear,MONTH(OctSun1+29)=10),OctSun1+29,""))</f>
        <v>42667</v>
      </c>
      <c r="N46" s="5">
        <f>IF(DAY(OctSun1)=1,IF(AND(YEAR(OctSun1+23)=CalendarYear,MONTH(OctSun1+23)=10),OctSun1+23,""),IF(AND(YEAR(OctSun1+30)=CalendarYear,MONTH(OctSun1+30)=10),OctSun1+30,""))</f>
        <v>42668</v>
      </c>
      <c r="O46" s="5">
        <f>IF(DAY(OctSun1)=1,IF(AND(YEAR(OctSun1+24)=CalendarYear,MONTH(OctSun1+24)=10),OctSun1+24,""),IF(AND(YEAR(OctSun1+31)=CalendarYear,MONTH(OctSun1+31)=10),OctSun1+31,""))</f>
        <v>42669</v>
      </c>
      <c r="P46" s="22">
        <f>IF(DAY(OctSun1)=1,IF(AND(YEAR(OctSun1+25)=CalendarYear,MONTH(OctSun1+25)=10),OctSun1+25,""),IF(AND(YEAR(OctSun1+32)=CalendarYear,MONTH(OctSun1+32)=10),OctSun1+32,""))</f>
        <v>42670</v>
      </c>
      <c r="Q46" s="22">
        <f>IF(DAY(OctSun1)=1,IF(AND(YEAR(OctSun1+26)=CalendarYear,MONTH(OctSun1+26)=10),OctSun1+26,""),IF(AND(YEAR(OctSun1+33)=CalendarYear,MONTH(OctSun1+33)=10),OctSun1+33,""))</f>
        <v>42671</v>
      </c>
      <c r="R46" s="5">
        <f>IF(DAY(OctSun1)=1,IF(AND(YEAR(OctSun1+27)=CalendarYear,MONTH(OctSun1+27)=10),OctSun1+27,""),IF(AND(YEAR(OctSun1+34)=CalendarYear,MONTH(OctSun1+34)=10),OctSun1+34,""))</f>
        <v>42672</v>
      </c>
      <c r="S46" s="5">
        <f>IF(DAY(OctSun1)=1,IF(AND(YEAR(OctSun1+28)=CalendarYear,MONTH(OctSun1+28)=10),OctSun1+28,""),IF(AND(YEAR(OctSun1+35)=CalendarYear,MONTH(OctSun1+35)=10),OctSun1+35,""))</f>
        <v>42673</v>
      </c>
      <c r="U46" s="8"/>
      <c r="W46" s="40" t="s">
        <v>27</v>
      </c>
      <c r="Z46" s="8"/>
    </row>
    <row r="47" spans="2:44" ht="11.25" customHeight="1" x14ac:dyDescent="0.2">
      <c r="B47" s="8"/>
      <c r="C47" s="8"/>
      <c r="E47" s="5" t="str">
        <f>IF(DAY(SepSun1)=1,IF(AND(YEAR(SepSun1+29)=CalendarYear,MONTH(SepSun1+29)=9),SepSun1+29,""),IF(AND(YEAR(SepSun1+36)=CalendarYear,MONTH(SepSun1+36)=9),SepSun1+36,""))</f>
        <v/>
      </c>
      <c r="F47" s="5" t="str">
        <f>IF(DAY(SepSun1)=1,IF(AND(YEAR(SepSun1+30)=CalendarYear,MONTH(SepSun1+30)=9),SepSun1+30,""),IF(AND(YEAR(SepSun1+37)=CalendarYear,MONTH(SepSun1+37)=9),SepSun1+37,""))</f>
        <v/>
      </c>
      <c r="G47" s="5" t="str">
        <f>IF(DAY(SepSun1)=1,IF(AND(YEAR(SepSun1+31)=CalendarYear,MONTH(SepSun1+31)=9),SepSun1+31,""),IF(AND(YEAR(SepSun1+38)=CalendarYear,MONTH(SepSun1+38)=9),SepSun1+38,""))</f>
        <v/>
      </c>
      <c r="H47" s="5" t="str">
        <f>IF(DAY(SepSun1)=1,IF(AND(YEAR(SepSun1+32)=CalendarYear,MONTH(SepSun1+32)=9),SepSun1+32,""),IF(AND(YEAR(SepSun1+39)=CalendarYear,MONTH(SepSun1+39)=9),SepSun1+39,""))</f>
        <v/>
      </c>
      <c r="I47" s="5" t="str">
        <f>IF(DAY(SepSun1)=1,IF(AND(YEAR(SepSun1+33)=CalendarYear,MONTH(SepSun1+33)=9),SepSun1+33,""),IF(AND(YEAR(SepSun1+40)=CalendarYear,MONTH(SepSun1+40)=9),SepSun1+40,""))</f>
        <v/>
      </c>
      <c r="J47" s="5" t="str">
        <f>IF(DAY(SepSun1)=1,IF(AND(YEAR(SepSun1+34)=CalendarYear,MONTH(SepSun1+34)=9),SepSun1+34,""),IF(AND(YEAR(SepSun1+41)=CalendarYear,MONTH(SepSun1+41)=9),SepSun1+41,""))</f>
        <v/>
      </c>
      <c r="K47" s="5" t="str">
        <f>IF(DAY(SepSun1)=1,IF(AND(YEAR(SepSun1+35)=CalendarYear,MONTH(SepSun1+35)=9),SepSun1+35,""),IF(AND(YEAR(SepSun1+42)=CalendarYear,MONTH(SepSun1+42)=9),SepSun1+42,""))</f>
        <v/>
      </c>
      <c r="M47" s="21">
        <f>IF(DAY(OctSun1)=1,IF(AND(YEAR(OctSun1+29)=CalendarYear,MONTH(OctSun1+29)=10),OctSun1+29,""),IF(AND(YEAR(OctSun1+36)=CalendarYear,MONTH(OctSun1+36)=10),OctSun1+36,""))</f>
        <v>42674</v>
      </c>
      <c r="N47" s="5" t="str">
        <f>IF(DAY(OctSun1)=1,IF(AND(YEAR(OctSun1+30)=CalendarYear,MONTH(OctSun1+30)=10),OctSun1+30,""),IF(AND(YEAR(OctSun1+37)=CalendarYear,MONTH(OctSun1+37)=10),OctSun1+37,""))</f>
        <v/>
      </c>
      <c r="O47" s="5" t="str">
        <f>IF(DAY(OctSun1)=1,IF(AND(YEAR(OctSun1+31)=CalendarYear,MONTH(OctSun1+31)=10),OctSun1+31,""),IF(AND(YEAR(OctSun1+38)=CalendarYear,MONTH(OctSun1+38)=10),OctSun1+38,""))</f>
        <v/>
      </c>
      <c r="P47" s="5" t="str">
        <f>IF(DAY(OctSun1)=1,IF(AND(YEAR(OctSun1+32)=CalendarYear,MONTH(OctSun1+32)=10),OctSun1+32,""),IF(AND(YEAR(OctSun1+39)=CalendarYear,MONTH(OctSun1+39)=10),OctSun1+39,""))</f>
        <v/>
      </c>
      <c r="Q47" s="5" t="str">
        <f>IF(DAY(OctSun1)=1,IF(AND(YEAR(OctSun1+33)=CalendarYear,MONTH(OctSun1+33)=10),OctSun1+33,""),IF(AND(YEAR(OctSun1+40)=CalendarYear,MONTH(OctSun1+40)=10),OctSun1+40,""))</f>
        <v/>
      </c>
      <c r="R47" s="5" t="str">
        <f>IF(DAY(OctSun1)=1,IF(AND(YEAR(OctSun1+34)=CalendarYear,MONTH(OctSun1+34)=10),OctSun1+34,""),IF(AND(YEAR(OctSun1+41)=CalendarYear,MONTH(OctSun1+41)=10),OctSun1+41,""))</f>
        <v/>
      </c>
      <c r="S47" s="5" t="str">
        <f>IF(DAY(OctSun1)=1,IF(AND(YEAR(OctSun1+35)=CalendarYear,MONTH(OctSun1+35)=10),OctSun1+35,""),IF(AND(YEAR(OctSun1+42)=CalendarYear,MONTH(OctSun1+42)=10),OctSun1+42,""))</f>
        <v/>
      </c>
      <c r="U47" s="8"/>
      <c r="W47" s="42" t="s">
        <v>80</v>
      </c>
      <c r="Z47" s="8"/>
    </row>
    <row r="48" spans="2:44" ht="12" x14ac:dyDescent="0.2">
      <c r="B48" s="8"/>
      <c r="C48" s="8"/>
      <c r="U48" s="8"/>
      <c r="W48" s="40" t="s">
        <v>36</v>
      </c>
      <c r="Z48" s="8"/>
    </row>
    <row r="49" spans="2:26" ht="11.25" customHeight="1" x14ac:dyDescent="0.25">
      <c r="B49" s="8"/>
      <c r="C49" s="8"/>
      <c r="E49" s="14" t="s">
        <v>10</v>
      </c>
      <c r="F49" s="13"/>
      <c r="G49" s="13"/>
      <c r="H49" s="13"/>
      <c r="I49" s="13"/>
      <c r="J49" s="13"/>
      <c r="K49" s="13"/>
      <c r="L49" s="19"/>
      <c r="M49" s="14" t="s">
        <v>11</v>
      </c>
      <c r="N49" s="13"/>
      <c r="O49" s="13"/>
      <c r="P49" s="13"/>
      <c r="Q49" s="13"/>
      <c r="R49" s="13"/>
      <c r="S49" s="13"/>
      <c r="U49" s="8"/>
      <c r="W49" s="42" t="s">
        <v>43</v>
      </c>
      <c r="Z49" s="8"/>
    </row>
    <row r="50" spans="2:26" ht="11.25" customHeight="1" x14ac:dyDescent="0.2">
      <c r="B50" s="8"/>
      <c r="C50" s="8"/>
      <c r="E50" s="15" t="s">
        <v>12</v>
      </c>
      <c r="F50" s="15" t="s">
        <v>13</v>
      </c>
      <c r="G50" s="15" t="s">
        <v>14</v>
      </c>
      <c r="H50" s="15" t="s">
        <v>15</v>
      </c>
      <c r="I50" s="15" t="s">
        <v>12</v>
      </c>
      <c r="J50" s="15" t="s">
        <v>14</v>
      </c>
      <c r="K50" s="15" t="s">
        <v>13</v>
      </c>
      <c r="L50" s="20"/>
      <c r="M50" s="15" t="s">
        <v>12</v>
      </c>
      <c r="N50" s="15" t="s">
        <v>13</v>
      </c>
      <c r="O50" s="15" t="s">
        <v>14</v>
      </c>
      <c r="P50" s="15" t="s">
        <v>15</v>
      </c>
      <c r="Q50" s="15" t="s">
        <v>12</v>
      </c>
      <c r="R50" s="15" t="s">
        <v>14</v>
      </c>
      <c r="S50" s="15" t="s">
        <v>13</v>
      </c>
      <c r="U50" s="8"/>
      <c r="W50" s="40" t="s">
        <v>55</v>
      </c>
      <c r="Z50" s="8"/>
    </row>
    <row r="51" spans="2:26" ht="11.25" customHeight="1" x14ac:dyDescent="0.2">
      <c r="B51" s="8"/>
      <c r="C51" s="8"/>
      <c r="E51" s="5" t="str">
        <f>IF(DAY(NovSun1)=1,"",IF(AND(YEAR(NovSun1+1)=CalendarYear,MONTH(NovSun1+1)=11),NovSun1+1,""))</f>
        <v/>
      </c>
      <c r="F51" s="21">
        <f>IF(DAY(NovSun1)=1,"",IF(AND(YEAR(NovSun1+2)=CalendarYear,MONTH(NovSun1+2)=11),NovSun1+2,""))</f>
        <v>42675</v>
      </c>
      <c r="G51" s="21">
        <f>IF(DAY(NovSun1)=1,"",IF(AND(YEAR(NovSun1+3)=CalendarYear,MONTH(NovSun1+3)=11),NovSun1+3,""))</f>
        <v>42676</v>
      </c>
      <c r="H51" s="21">
        <f>IF(DAY(NovSun1)=1,"",IF(AND(YEAR(NovSun1+4)=CalendarYear,MONTH(NovSun1+4)=11),NovSun1+4,""))</f>
        <v>42677</v>
      </c>
      <c r="I51" s="5">
        <f>IF(DAY(NovSun1)=1,"",IF(AND(YEAR(NovSun1+5)=CalendarYear,MONTH(NovSun1+5)=11),NovSun1+5,""))</f>
        <v>42678</v>
      </c>
      <c r="J51" s="5">
        <f>IF(DAY(NovSun1)=1,"",IF(AND(YEAR(NovSun1+6)=CalendarYear,MONTH(NovSun1+6)=11),NovSun1+6,""))</f>
        <v>42679</v>
      </c>
      <c r="K51" s="5">
        <f>IF(DAY(NovSun1)=1,IF(AND(YEAR(NovSun1)=CalendarYear,MONTH(NovSun1)=11),NovSun1,""),IF(AND(YEAR(NovSun1+7)=CalendarYear,MONTH(NovSun1+7)=11),NovSun1+7,""))</f>
        <v>42680</v>
      </c>
      <c r="M51" s="5" t="str">
        <f>IF(DAY(DecSun1)=1,"",IF(AND(YEAR(DecSun1+1)=CalendarYear,MONTH(DecSun1+1)=12),DecSun1+1,""))</f>
        <v/>
      </c>
      <c r="N51" s="5" t="str">
        <f>IF(DAY(DecSun1)=1,"",IF(AND(YEAR(DecSun1+2)=CalendarYear,MONTH(DecSun1+2)=12),DecSun1+2,""))</f>
        <v/>
      </c>
      <c r="O51" s="5" t="str">
        <f>IF(DAY(DecSun1)=1,"",IF(AND(YEAR(DecSun1+3)=CalendarYear,MONTH(DecSun1+3)=12),DecSun1+3,""))</f>
        <v/>
      </c>
      <c r="P51" s="5">
        <f>IF(DAY(DecSun1)=1,"",IF(AND(YEAR(DecSun1+4)=CalendarYear,MONTH(DecSun1+4)=12),DecSun1+4,""))</f>
        <v>42705</v>
      </c>
      <c r="Q51" s="23">
        <f>IF(DAY(DecSun1)=1,"",IF(AND(YEAR(DecSun1+5)=CalendarYear,MONTH(DecSun1+5)=12),DecSun1+5,""))</f>
        <v>42706</v>
      </c>
      <c r="R51" s="5">
        <f>IF(DAY(DecSun1)=1,"",IF(AND(YEAR(DecSun1+6)=CalendarYear,MONTH(DecSun1+6)=12),DecSun1+6,""))</f>
        <v>42707</v>
      </c>
      <c r="S51" s="5">
        <f>IF(DAY(DecSun1)=1,IF(AND(YEAR(DecSun1)=CalendarYear,MONTH(DecSun1)=12),DecSun1,""),IF(AND(YEAR(DecSun1+7)=CalendarYear,MONTH(DecSun1+7)=12),DecSun1+7,""))</f>
        <v>42708</v>
      </c>
      <c r="U51" s="8"/>
      <c r="W51" s="42" t="s">
        <v>44</v>
      </c>
      <c r="Z51" s="8"/>
    </row>
    <row r="52" spans="2:26" ht="11.25" customHeight="1" x14ac:dyDescent="0.2">
      <c r="B52" s="8"/>
      <c r="C52" s="8"/>
      <c r="E52" s="5">
        <f>IF(DAY(NovSun1)=1,IF(AND(YEAR(NovSun1+1)=CalendarYear,MONTH(NovSun1+1)=11),NovSun1+1,""),IF(AND(YEAR(NovSun1+8)=CalendarYear,MONTH(NovSun1+8)=11),NovSun1+8,""))</f>
        <v>42681</v>
      </c>
      <c r="F52" s="5">
        <f>IF(DAY(NovSun1)=1,IF(AND(YEAR(NovSun1+2)=CalendarYear,MONTH(NovSun1+2)=11),NovSun1+2,""),IF(AND(YEAR(NovSun1+9)=CalendarYear,MONTH(NovSun1+9)=11),NovSun1+9,""))</f>
        <v>42682</v>
      </c>
      <c r="G52" s="29">
        <f>IF(DAY(NovSun1)=1,IF(AND(YEAR(NovSun1+3)=CalendarYear,MONTH(NovSun1+3)=11),NovSun1+3,""),IF(AND(YEAR(NovSun1+10)=CalendarYear,MONTH(NovSun1+10)=11),NovSun1+10,""))</f>
        <v>42683</v>
      </c>
      <c r="H52" s="5">
        <f>IF(DAY(NovSun1)=1,IF(AND(YEAR(NovSun1+4)=CalendarYear,MONTH(NovSun1+4)=11),NovSun1+4,""),IF(AND(YEAR(NovSun1+11)=CalendarYear,MONTH(NovSun1+11)=11),NovSun1+11,""))</f>
        <v>42684</v>
      </c>
      <c r="I52" s="5">
        <f>IF(DAY(NovSun1)=1,IF(AND(YEAR(NovSun1+5)=CalendarYear,MONTH(NovSun1+5)=11),NovSun1+5,""),IF(AND(YEAR(NovSun1+12)=CalendarYear,MONTH(NovSun1+12)=11),NovSun1+12,""))</f>
        <v>42685</v>
      </c>
      <c r="J52" s="5">
        <f>IF(DAY(NovSun1)=1,IF(AND(YEAR(NovSun1+6)=CalendarYear,MONTH(NovSun1+6)=11),NovSun1+6,""),IF(AND(YEAR(NovSun1+13)=CalendarYear,MONTH(NovSun1+13)=11),NovSun1+13,""))</f>
        <v>42686</v>
      </c>
      <c r="K52" s="5">
        <f>IF(DAY(NovSun1)=1,IF(AND(YEAR(NovSun1+7)=CalendarYear,MONTH(NovSun1+7)=11),NovSun1+7,""),IF(AND(YEAR(NovSun1+14)=CalendarYear,MONTH(NovSun1+14)=11),NovSun1+14,""))</f>
        <v>42687</v>
      </c>
      <c r="M52" s="5">
        <f>IF(DAY(DecSun1)=1,IF(AND(YEAR(DecSun1+1)=CalendarYear,MONTH(DecSun1+1)=12),DecSun1+1,""),IF(AND(YEAR(DecSun1+8)=CalendarYear,MONTH(DecSun1+8)=12),DecSun1+8,""))</f>
        <v>42709</v>
      </c>
      <c r="N52" s="5">
        <f>IF(DAY(DecSun1)=1,IF(AND(YEAR(DecSun1+2)=CalendarYear,MONTH(DecSun1+2)=12),DecSun1+2,""),IF(AND(YEAR(DecSun1+9)=CalendarYear,MONTH(DecSun1+9)=12),DecSun1+9,""))</f>
        <v>42710</v>
      </c>
      <c r="O52" s="5">
        <f>IF(DAY(DecSun1)=1,IF(AND(YEAR(DecSun1+3)=CalendarYear,MONTH(DecSun1+3)=12),DecSun1+3,""),IF(AND(YEAR(DecSun1+10)=CalendarYear,MONTH(DecSun1+10)=12),DecSun1+10,""))</f>
        <v>42711</v>
      </c>
      <c r="P52" s="5">
        <f>IF(DAY(DecSun1)=1,IF(AND(YEAR(DecSun1+4)=CalendarYear,MONTH(DecSun1+4)=12),DecSun1+4,""),IF(AND(YEAR(DecSun1+11)=CalendarYear,MONTH(DecSun1+11)=12),DecSun1+11,""))</f>
        <v>42712</v>
      </c>
      <c r="Q52" s="5">
        <f>IF(DAY(DecSun1)=1,IF(AND(YEAR(DecSun1+5)=CalendarYear,MONTH(DecSun1+5)=12),DecSun1+5,""),IF(AND(YEAR(DecSun1+12)=CalendarYear,MONTH(DecSun1+12)=12),DecSun1+12,""))</f>
        <v>42713</v>
      </c>
      <c r="R52" s="5">
        <f>IF(DAY(DecSun1)=1,IF(AND(YEAR(DecSun1+6)=CalendarYear,MONTH(DecSun1+6)=12),DecSun1+6,""),IF(AND(YEAR(DecSun1+13)=CalendarYear,MONTH(DecSun1+13)=12),DecSun1+13,""))</f>
        <v>42714</v>
      </c>
      <c r="S52" s="5">
        <f>IF(DAY(DecSun1)=1,IF(AND(YEAR(DecSun1+7)=CalendarYear,MONTH(DecSun1+7)=12),DecSun1+7,""),IF(AND(YEAR(DecSun1+14)=CalendarYear,MONTH(DecSun1+14)=12),DecSun1+14,""))</f>
        <v>42715</v>
      </c>
      <c r="U52" s="8"/>
      <c r="W52" s="40" t="s">
        <v>33</v>
      </c>
      <c r="Z52" s="8"/>
    </row>
    <row r="53" spans="2:26" ht="11.25" customHeight="1" x14ac:dyDescent="0.2">
      <c r="B53" s="8"/>
      <c r="C53" s="8"/>
      <c r="E53" s="5">
        <f>IF(DAY(NovSun1)=1,IF(AND(YEAR(NovSun1+8)=CalendarYear,MONTH(NovSun1+8)=11),NovSun1+8,""),IF(AND(YEAR(NovSun1+15)=CalendarYear,MONTH(NovSun1+15)=11),NovSun1+15,""))</f>
        <v>42688</v>
      </c>
      <c r="F53" s="5">
        <f>IF(DAY(NovSun1)=1,IF(AND(YEAR(NovSun1+9)=CalendarYear,MONTH(NovSun1+9)=11),NovSun1+9,""),IF(AND(YEAR(NovSun1+16)=CalendarYear,MONTH(NovSun1+16)=11),NovSun1+16,""))</f>
        <v>42689</v>
      </c>
      <c r="G53" s="5">
        <f>IF(DAY(NovSun1)=1,IF(AND(YEAR(NovSun1+10)=CalendarYear,MONTH(NovSun1+10)=11),NovSun1+10,""),IF(AND(YEAR(NovSun1+17)=CalendarYear,MONTH(NovSun1+17)=11),NovSun1+17,""))</f>
        <v>42690</v>
      </c>
      <c r="H53" s="5">
        <f>IF(DAY(NovSun1)=1,IF(AND(YEAR(NovSun1+11)=CalendarYear,MONTH(NovSun1+11)=11),NovSun1+11,""),IF(AND(YEAR(NovSun1+18)=CalendarYear,MONTH(NovSun1+18)=11),NovSun1+18,""))</f>
        <v>42691</v>
      </c>
      <c r="I53" s="5">
        <f>IF(DAY(NovSun1)=1,IF(AND(YEAR(NovSun1+12)=CalendarYear,MONTH(NovSun1+12)=11),NovSun1+12,""),IF(AND(YEAR(NovSun1+19)=CalendarYear,MONTH(NovSun1+19)=11),NovSun1+19,""))</f>
        <v>42692</v>
      </c>
      <c r="J53" s="5">
        <f>IF(DAY(NovSun1)=1,IF(AND(YEAR(NovSun1+13)=CalendarYear,MONTH(NovSun1+13)=11),NovSun1+13,""),IF(AND(YEAR(NovSun1+20)=CalendarYear,MONTH(NovSun1+20)=11),NovSun1+20,""))</f>
        <v>42693</v>
      </c>
      <c r="K53" s="5">
        <f>IF(DAY(NovSun1)=1,IF(AND(YEAR(NovSun1+14)=CalendarYear,MONTH(NovSun1+14)=11),NovSun1+14,""),IF(AND(YEAR(NovSun1+21)=CalendarYear,MONTH(NovSun1+21)=11),NovSun1+21,""))</f>
        <v>42694</v>
      </c>
      <c r="M53" s="5">
        <f>IF(DAY(DecSun1)=1,IF(AND(YEAR(DecSun1+8)=CalendarYear,MONTH(DecSun1+8)=12),DecSun1+8,""),IF(AND(YEAR(DecSun1+15)=CalendarYear,MONTH(DecSun1+15)=12),DecSun1+15,""))</f>
        <v>42716</v>
      </c>
      <c r="N53" s="5">
        <f>IF(DAY(DecSun1)=1,IF(AND(YEAR(DecSun1+9)=CalendarYear,MONTH(DecSun1+9)=12),DecSun1+9,""),IF(AND(YEAR(DecSun1+16)=CalendarYear,MONTH(DecSun1+16)=12),DecSun1+16,""))</f>
        <v>42717</v>
      </c>
      <c r="O53" s="5">
        <f>IF(DAY(DecSun1)=1,IF(AND(YEAR(DecSun1+10)=CalendarYear,MONTH(DecSun1+10)=12),DecSun1+10,""),IF(AND(YEAR(DecSun1+17)=CalendarYear,MONTH(DecSun1+17)=12),DecSun1+17,""))</f>
        <v>42718</v>
      </c>
      <c r="P53" s="21">
        <f>IF(DAY(DecSun1)=1,IF(AND(YEAR(DecSun1+11)=CalendarYear,MONTH(DecSun1+11)=12),DecSun1+11,""),IF(AND(YEAR(DecSun1+18)=CalendarYear,MONTH(DecSun1+18)=12),DecSun1+18,""))</f>
        <v>42719</v>
      </c>
      <c r="Q53" s="21">
        <f>IF(DAY(DecSun1)=1,IF(AND(YEAR(DecSun1+12)=CalendarYear,MONTH(DecSun1+12)=12),DecSun1+12,""),IF(AND(YEAR(DecSun1+19)=CalendarYear,MONTH(DecSun1+19)=12),DecSun1+19,""))</f>
        <v>42720</v>
      </c>
      <c r="R53" s="5">
        <f>IF(DAY(DecSun1)=1,IF(AND(YEAR(DecSun1+13)=CalendarYear,MONTH(DecSun1+13)=12),DecSun1+13,""),IF(AND(YEAR(DecSun1+20)=CalendarYear,MONTH(DecSun1+20)=12),DecSun1+20,""))</f>
        <v>42721</v>
      </c>
      <c r="S53" s="5">
        <f>IF(DAY(DecSun1)=1,IF(AND(YEAR(DecSun1+14)=CalendarYear,MONTH(DecSun1+14)=12),DecSun1+14,""),IF(AND(YEAR(DecSun1+21)=CalendarYear,MONTH(DecSun1+21)=12),DecSun1+21,""))</f>
        <v>42722</v>
      </c>
      <c r="U53" s="8"/>
      <c r="W53" s="42" t="s">
        <v>86</v>
      </c>
      <c r="Z53" s="8"/>
    </row>
    <row r="54" spans="2:26" ht="11.25" customHeight="1" x14ac:dyDescent="0.2">
      <c r="B54" s="8"/>
      <c r="C54" s="8"/>
      <c r="E54" s="23">
        <f>IF(DAY(NovSun1)=1,IF(AND(YEAR(NovSun1+15)=CalendarYear,MONTH(NovSun1+15)=11),NovSun1+15,""),IF(AND(YEAR(NovSun1+22)=CalendarYear,MONTH(NovSun1+22)=11),NovSun1+22,""))</f>
        <v>42695</v>
      </c>
      <c r="F54" s="23">
        <f>IF(DAY(NovSun1)=1,IF(AND(YEAR(NovSun1+16)=CalendarYear,MONTH(NovSun1+16)=11),NovSun1+16,""),IF(AND(YEAR(NovSun1+23)=CalendarYear,MONTH(NovSun1+23)=11),NovSun1+23,""))</f>
        <v>42696</v>
      </c>
      <c r="G54" s="23">
        <f>IF(DAY(NovSun1)=1,IF(AND(YEAR(NovSun1+17)=CalendarYear,MONTH(NovSun1+17)=11),NovSun1+17,""),IF(AND(YEAR(NovSun1+24)=CalendarYear,MONTH(NovSun1+24)=11),NovSun1+24,""))</f>
        <v>42697</v>
      </c>
      <c r="H54" s="5">
        <f>IF(DAY(NovSun1)=1,IF(AND(YEAR(NovSun1+18)=CalendarYear,MONTH(NovSun1+18)=11),NovSun1+18,""),IF(AND(YEAR(NovSun1+25)=CalendarYear,MONTH(NovSun1+25)=11),NovSun1+25,""))</f>
        <v>42698</v>
      </c>
      <c r="I54" s="5">
        <f>IF(DAY(NovSun1)=1,IF(AND(YEAR(NovSun1+19)=CalendarYear,MONTH(NovSun1+19)=11),NovSun1+19,""),IF(AND(YEAR(NovSun1+26)=CalendarYear,MONTH(NovSun1+26)=11),NovSun1+26,""))</f>
        <v>42699</v>
      </c>
      <c r="J54" s="5">
        <f>IF(DAY(NovSun1)=1,IF(AND(YEAR(NovSun1+20)=CalendarYear,MONTH(NovSun1+20)=11),NovSun1+20,""),IF(AND(YEAR(NovSun1+27)=CalendarYear,MONTH(NovSun1+27)=11),NovSun1+27,""))</f>
        <v>42700</v>
      </c>
      <c r="K54" s="5">
        <f>IF(DAY(NovSun1)=1,IF(AND(YEAR(NovSun1+21)=CalendarYear,MONTH(NovSun1+21)=11),NovSun1+21,""),IF(AND(YEAR(NovSun1+28)=CalendarYear,MONTH(NovSun1+28)=11),NovSun1+28,""))</f>
        <v>42701</v>
      </c>
      <c r="M54" s="5">
        <f>IF(DAY(DecSun1)=1,IF(AND(YEAR(DecSun1+15)=CalendarYear,MONTH(DecSun1+15)=12),DecSun1+15,""),IF(AND(YEAR(DecSun1+22)=CalendarYear,MONTH(DecSun1+22)=12),DecSun1+22,""))</f>
        <v>42723</v>
      </c>
      <c r="N54" s="21">
        <f>IF(DAY(DecSun1)=1,IF(AND(YEAR(DecSun1+16)=CalendarYear,MONTH(DecSun1+16)=12),DecSun1+16,""),IF(AND(YEAR(DecSun1+23)=CalendarYear,MONTH(DecSun1+23)=12),DecSun1+23,""))</f>
        <v>42724</v>
      </c>
      <c r="O54" s="5">
        <f>IF(DAY(DecSun1)=1,IF(AND(YEAR(DecSun1+17)=CalendarYear,MONTH(DecSun1+17)=12),DecSun1+17,""),IF(AND(YEAR(DecSun1+24)=CalendarYear,MONTH(DecSun1+24)=12),DecSun1+24,""))</f>
        <v>42725</v>
      </c>
      <c r="P54" s="5">
        <f>IF(DAY(DecSun1)=1,IF(AND(YEAR(DecSun1+18)=CalendarYear,MONTH(DecSun1+18)=12),DecSun1+18,""),IF(AND(YEAR(DecSun1+25)=CalendarYear,MONTH(DecSun1+25)=12),DecSun1+25,""))</f>
        <v>42726</v>
      </c>
      <c r="Q54" s="5">
        <f>IF(DAY(DecSun1)=1,IF(AND(YEAR(DecSun1+19)=CalendarYear,MONTH(DecSun1+19)=12),DecSun1+19,""),IF(AND(YEAR(DecSun1+26)=CalendarYear,MONTH(DecSun1+26)=12),DecSun1+26,""))</f>
        <v>42727</v>
      </c>
      <c r="R54" s="5">
        <f>IF(DAY(DecSun1)=1,IF(AND(YEAR(DecSun1+20)=CalendarYear,MONTH(DecSun1+20)=12),DecSun1+20,""),IF(AND(YEAR(DecSun1+27)=CalendarYear,MONTH(DecSun1+27)=12),DecSun1+27,""))</f>
        <v>42728</v>
      </c>
      <c r="S54" s="5">
        <f>IF(DAY(DecSun1)=1,IF(AND(YEAR(DecSun1+21)=CalendarYear,MONTH(DecSun1+21)=12),DecSun1+21,""),IF(AND(YEAR(DecSun1+28)=CalendarYear,MONTH(DecSun1+28)=12),DecSun1+28,""))</f>
        <v>42729</v>
      </c>
      <c r="U54" s="8"/>
      <c r="W54" s="40" t="s">
        <v>34</v>
      </c>
      <c r="Z54" s="8"/>
    </row>
    <row r="55" spans="2:26" ht="12" customHeight="1" x14ac:dyDescent="0.2">
      <c r="B55" s="8"/>
      <c r="C55" s="8"/>
      <c r="E55" s="21">
        <f>IF(DAY(NovSun1)=1,IF(AND(YEAR(NovSun1+22)=CalendarYear,MONTH(NovSun1+22)=11),NovSun1+22,""),IF(AND(YEAR(NovSun1+29)=CalendarYear,MONTH(NovSun1+29)=11),NovSun1+29,""))</f>
        <v>42702</v>
      </c>
      <c r="F55" s="21">
        <f>IF(DAY(NovSun1)=1,IF(AND(YEAR(NovSun1+23)=CalendarYear,MONTH(NovSun1+23)=11),NovSun1+23,""),IF(AND(YEAR(NovSun1+30)=CalendarYear,MONTH(NovSun1+30)=11),NovSun1+30,""))</f>
        <v>42703</v>
      </c>
      <c r="G55" s="21">
        <f>IF(DAY(NovSun1)=1,IF(AND(YEAR(NovSun1+24)=CalendarYear,MONTH(NovSun1+24)=11),NovSun1+24,""),IF(AND(YEAR(NovSun1+31)=CalendarYear,MONTH(NovSun1+31)=11),NovSun1+31,""))</f>
        <v>42704</v>
      </c>
      <c r="H55" s="5" t="str">
        <f>IF(DAY(NovSun1)=1,IF(AND(YEAR(NovSun1+25)=CalendarYear,MONTH(NovSun1+25)=11),NovSun1+25,""),IF(AND(YEAR(NovSun1+32)=CalendarYear,MONTH(NovSun1+32)=11),NovSun1+32,""))</f>
        <v/>
      </c>
      <c r="I55" s="5" t="str">
        <f>IF(DAY(NovSun1)=1,IF(AND(YEAR(NovSun1+26)=CalendarYear,MONTH(NovSun1+26)=11),NovSun1+26,""),IF(AND(YEAR(NovSun1+33)=CalendarYear,MONTH(NovSun1+33)=11),NovSun1+33,""))</f>
        <v/>
      </c>
      <c r="J55" s="5" t="str">
        <f>IF(DAY(NovSun1)=1,IF(AND(YEAR(NovSun1+27)=CalendarYear,MONTH(NovSun1+27)=11),NovSun1+27,""),IF(AND(YEAR(NovSun1+34)=CalendarYear,MONTH(NovSun1+34)=11),NovSun1+34,""))</f>
        <v/>
      </c>
      <c r="K55" s="5" t="str">
        <f>IF(DAY(NovSun1)=1,IF(AND(YEAR(NovSun1+28)=CalendarYear,MONTH(NovSun1+28)=11),NovSun1+28,""),IF(AND(YEAR(NovSun1+35)=CalendarYear,MONTH(NovSun1+35)=11),NovSun1+35,""))</f>
        <v/>
      </c>
      <c r="M55" s="5">
        <f>IF(DAY(DecSun1)=1,IF(AND(YEAR(DecSun1+22)=CalendarYear,MONTH(DecSun1+22)=12),DecSun1+22,""),IF(AND(YEAR(DecSun1+29)=CalendarYear,MONTH(DecSun1+29)=12),DecSun1+29,""))</f>
        <v>42730</v>
      </c>
      <c r="N55" s="5">
        <f>IF(DAY(DecSun1)=1,IF(AND(YEAR(DecSun1+23)=CalendarYear,MONTH(DecSun1+23)=12),DecSun1+23,""),IF(AND(YEAR(DecSun1+30)=CalendarYear,MONTH(DecSun1+30)=12),DecSun1+30,""))</f>
        <v>42731</v>
      </c>
      <c r="O55" s="5">
        <f>IF(DAY(DecSun1)=1,IF(AND(YEAR(DecSun1+24)=CalendarYear,MONTH(DecSun1+24)=12),DecSun1+24,""),IF(AND(YEAR(DecSun1+31)=CalendarYear,MONTH(DecSun1+31)=12),DecSun1+31,""))</f>
        <v>42732</v>
      </c>
      <c r="P55" s="5">
        <f>IF(DAY(DecSun1)=1,IF(AND(YEAR(DecSun1+25)=CalendarYear,MONTH(DecSun1+25)=12),DecSun1+25,""),IF(AND(YEAR(DecSun1+32)=CalendarYear,MONTH(DecSun1+32)=12),DecSun1+32,""))</f>
        <v>42733</v>
      </c>
      <c r="Q55" s="5">
        <f>IF(DAY(DecSun1)=1,IF(AND(YEAR(DecSun1+26)=CalendarYear,MONTH(DecSun1+26)=12),DecSun1+26,""),IF(AND(YEAR(DecSun1+33)=CalendarYear,MONTH(DecSun1+33)=12),DecSun1+33,""))</f>
        <v>42734</v>
      </c>
      <c r="R55" s="5">
        <f>IF(DAY(DecSun1)=1,IF(AND(YEAR(DecSun1+27)=CalendarYear,MONTH(DecSun1+27)=12),DecSun1+27,""),IF(AND(YEAR(DecSun1+34)=CalendarYear,MONTH(DecSun1+34)=12),DecSun1+34,""))</f>
        <v>42735</v>
      </c>
      <c r="S55" s="5" t="str">
        <f>IF(DAY(DecSun1)=1,IF(AND(YEAR(DecSun1+28)=CalendarYear,MONTH(DecSun1+28)=12),DecSun1+28,""),IF(AND(YEAR(DecSun1+35)=CalendarYear,MONTH(DecSun1+35)=12),DecSun1+35,""))</f>
        <v/>
      </c>
      <c r="U55" s="8"/>
      <c r="W55" s="42" t="s">
        <v>87</v>
      </c>
      <c r="Z55" s="8"/>
    </row>
    <row r="56" spans="2:26" ht="12" x14ac:dyDescent="0.2">
      <c r="B56" s="8"/>
      <c r="C56" s="8"/>
      <c r="U56" s="8"/>
      <c r="W56" s="40" t="s">
        <v>35</v>
      </c>
      <c r="Z56" s="8"/>
    </row>
    <row r="57" spans="2:26" ht="11.25" customHeight="1" x14ac:dyDescent="0.2">
      <c r="B57" s="8"/>
      <c r="C57" s="8"/>
      <c r="E57" s="7"/>
      <c r="G57" s="35" t="s">
        <v>20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U57" s="8"/>
      <c r="W57" s="42" t="s">
        <v>45</v>
      </c>
      <c r="Z57" s="8"/>
    </row>
    <row r="58" spans="2:26" ht="11.25" customHeight="1" x14ac:dyDescent="0.2">
      <c r="B58" s="8"/>
      <c r="C58" s="8"/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U58" s="8"/>
      <c r="W58" s="40" t="s">
        <v>55</v>
      </c>
      <c r="Z58" s="8"/>
    </row>
    <row r="59" spans="2:26" ht="11.25" customHeight="1" x14ac:dyDescent="0.2">
      <c r="B59" s="8"/>
      <c r="C59" s="8"/>
      <c r="E59" s="8"/>
      <c r="G59" s="35" t="s">
        <v>21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5" t="str">
        <f>IF(DAY(DecSun1)=1,IF(AND(YEAR(DecSun1+34)=CalendarYear,MONTH(DecSun1+34)=12),DecSun1+34,""),IF(AND(YEAR(DecSun1+41)=CalendarYear,MONTH(DecSun1+41)=12),DecSun1+41,""))</f>
        <v/>
      </c>
      <c r="S59" s="5" t="str">
        <f>IF(DAY(DecSun1)=1,IF(AND(YEAR(DecSun1+35)=CalendarYear,MONTH(DecSun1+35)=12),DecSun1+35,""),IF(AND(YEAR(DecSun1+42)=CalendarYear,MONTH(DecSun1+42)=12),DecSun1+42,""))</f>
        <v/>
      </c>
      <c r="U59" s="8"/>
      <c r="W59" s="45" t="s">
        <v>46</v>
      </c>
      <c r="Z59" s="8"/>
    </row>
    <row r="60" spans="2:26" ht="12" x14ac:dyDescent="0.2">
      <c r="B60" s="8"/>
      <c r="C60" s="8"/>
      <c r="G60" s="35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"/>
      <c r="S60" s="2"/>
      <c r="U60" s="8"/>
      <c r="W60" s="40" t="s">
        <v>16</v>
      </c>
      <c r="Z60" s="8"/>
    </row>
    <row r="61" spans="2:26" ht="11.25" customHeight="1" x14ac:dyDescent="0.2">
      <c r="B61" s="8"/>
      <c r="C61" s="8"/>
      <c r="E61" s="25"/>
      <c r="G61" s="35" t="s">
        <v>23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U61" s="8"/>
      <c r="W61" s="42" t="s">
        <v>71</v>
      </c>
      <c r="Z61" s="8"/>
    </row>
    <row r="62" spans="2:26" ht="11.25" customHeight="1" x14ac:dyDescent="0.2">
      <c r="B62" s="8"/>
      <c r="C62" s="8"/>
      <c r="G62" s="35"/>
      <c r="H62" s="36"/>
      <c r="I62" s="36"/>
      <c r="J62" s="36"/>
      <c r="K62" s="36"/>
      <c r="L62" s="36"/>
      <c r="M62" s="36"/>
      <c r="N62" s="36"/>
      <c r="O62" s="36"/>
      <c r="P62" s="36"/>
      <c r="Q62" s="36"/>
      <c r="U62" s="8"/>
      <c r="W62" s="40" t="s">
        <v>82</v>
      </c>
      <c r="Z62" s="8"/>
    </row>
    <row r="63" spans="2:26" x14ac:dyDescent="0.2">
      <c r="B63" s="8"/>
      <c r="C63" s="8"/>
      <c r="E63" s="24"/>
      <c r="G63" s="50" t="s">
        <v>22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U63" s="8"/>
      <c r="W63" s="44" t="s">
        <v>72</v>
      </c>
      <c r="Z63" s="8"/>
    </row>
    <row r="64" spans="2:26" ht="11.25" customHeight="1" x14ac:dyDescent="0.2">
      <c r="B64" s="8"/>
      <c r="C64" s="8"/>
      <c r="U64" s="8"/>
      <c r="W64" s="41" t="s">
        <v>47</v>
      </c>
      <c r="Z64" s="8"/>
    </row>
    <row r="65" spans="2:26" ht="11.25" customHeight="1" x14ac:dyDescent="0.2">
      <c r="B65" s="8"/>
      <c r="C65" s="8"/>
      <c r="U65" s="8"/>
      <c r="W65" s="44" t="s">
        <v>75</v>
      </c>
      <c r="Z65" s="8"/>
    </row>
    <row r="66" spans="2:26" ht="11.25" customHeight="1" x14ac:dyDescent="0.2">
      <c r="B66" s="8"/>
      <c r="C66" s="8"/>
      <c r="U66" s="8"/>
      <c r="W66" s="40" t="s">
        <v>73</v>
      </c>
      <c r="Z66" s="8"/>
    </row>
    <row r="67" spans="2:26" ht="11.25" customHeight="1" x14ac:dyDescent="0.2">
      <c r="B67" s="8"/>
      <c r="C67" s="8"/>
      <c r="U67" s="8"/>
      <c r="W67" s="40" t="s">
        <v>74</v>
      </c>
      <c r="Z67" s="8"/>
    </row>
    <row r="68" spans="2:26" ht="11.25" customHeight="1" x14ac:dyDescent="0.2">
      <c r="B68" s="8"/>
      <c r="C68" s="8"/>
      <c r="U68" s="8"/>
      <c r="W68" s="42" t="s">
        <v>76</v>
      </c>
      <c r="Z68" s="8"/>
    </row>
    <row r="69" spans="2:26" ht="11.25" customHeight="1" x14ac:dyDescent="0.2">
      <c r="B69" s="8"/>
      <c r="C69" s="8"/>
      <c r="U69" s="8"/>
      <c r="W69" s="40" t="s">
        <v>38</v>
      </c>
      <c r="Z69" s="8"/>
    </row>
    <row r="70" spans="2:26" ht="11.25" customHeight="1" x14ac:dyDescent="0.2">
      <c r="B70" s="8"/>
      <c r="C70" s="8"/>
      <c r="U70" s="8"/>
      <c r="W70" s="42" t="s">
        <v>77</v>
      </c>
      <c r="Z70" s="8"/>
    </row>
    <row r="71" spans="2:26" ht="11.25" customHeight="1" x14ac:dyDescent="0.2">
      <c r="B71" s="8"/>
      <c r="C71" s="8"/>
      <c r="D71" s="47" t="s">
        <v>25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8"/>
      <c r="W71" s="40" t="s">
        <v>32</v>
      </c>
      <c r="Z71" s="8"/>
    </row>
    <row r="72" spans="2:26" ht="13.5" customHeight="1" x14ac:dyDescent="0.2">
      <c r="B72" s="8"/>
      <c r="C72" s="8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8"/>
      <c r="W72" s="43" t="s">
        <v>48</v>
      </c>
      <c r="Z72" s="8"/>
    </row>
    <row r="73" spans="2:26" ht="11.25" customHeight="1" x14ac:dyDescent="0.2">
      <c r="B73" s="8"/>
      <c r="C73" s="8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8"/>
      <c r="W73" s="40" t="s">
        <v>33</v>
      </c>
      <c r="Z73" s="8"/>
    </row>
    <row r="74" spans="2:26" ht="11.25" customHeight="1" x14ac:dyDescent="0.2">
      <c r="B74" s="8"/>
      <c r="C74" s="8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8"/>
      <c r="W74" s="42" t="s">
        <v>49</v>
      </c>
      <c r="Z74" s="8"/>
    </row>
    <row r="75" spans="2:26" ht="13.5" customHeight="1" x14ac:dyDescent="0.2">
      <c r="B75" s="8"/>
      <c r="C75" s="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8"/>
      <c r="W75" s="40" t="s">
        <v>27</v>
      </c>
      <c r="Z75" s="8"/>
    </row>
    <row r="76" spans="2:26" ht="11.25" customHeight="1" x14ac:dyDescent="0.2">
      <c r="B76" s="8"/>
      <c r="C76" s="8"/>
      <c r="D76" s="46" t="s">
        <v>90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8"/>
      <c r="W76" s="43" t="s">
        <v>81</v>
      </c>
      <c r="Z76" s="8"/>
    </row>
    <row r="77" spans="2:26" ht="11.25" customHeight="1" x14ac:dyDescent="0.2">
      <c r="B77" s="8"/>
      <c r="C77" s="8"/>
      <c r="D77" s="46" t="s">
        <v>26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8"/>
      <c r="W77" s="40" t="s">
        <v>78</v>
      </c>
      <c r="Z77" s="8"/>
    </row>
    <row r="78" spans="2:26" x14ac:dyDescent="0.2">
      <c r="B78" s="8"/>
      <c r="C78" s="8"/>
      <c r="D78" s="46" t="s">
        <v>17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8"/>
      <c r="W78" s="42" t="s">
        <v>50</v>
      </c>
      <c r="Z78" s="8"/>
    </row>
    <row r="79" spans="2:26" ht="11.25" customHeight="1" x14ac:dyDescent="0.2">
      <c r="B79" s="8"/>
      <c r="C79" s="8"/>
      <c r="D79" s="46" t="s">
        <v>24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8"/>
      <c r="W79" s="40" t="s">
        <v>28</v>
      </c>
      <c r="Z79" s="8"/>
    </row>
    <row r="80" spans="2:26" ht="11.25" customHeight="1" x14ac:dyDescent="0.2">
      <c r="B80" s="8"/>
      <c r="C80" s="8"/>
      <c r="D80" s="46" t="s">
        <v>18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8"/>
      <c r="W80" s="42" t="s">
        <v>51</v>
      </c>
      <c r="Z80" s="8"/>
    </row>
    <row r="81" spans="2:26" ht="12" x14ac:dyDescent="0.2">
      <c r="B81" s="8"/>
      <c r="C81" s="8"/>
      <c r="U81" s="8"/>
      <c r="W81" s="40" t="s">
        <v>55</v>
      </c>
      <c r="Z81" s="8"/>
    </row>
    <row r="82" spans="2:26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32"/>
      <c r="X82" s="26"/>
      <c r="Y82" s="8"/>
      <c r="Z82" s="8"/>
    </row>
    <row r="83" spans="2:26" x14ac:dyDescent="0.2">
      <c r="C83" s="1"/>
      <c r="W83" s="33"/>
    </row>
    <row r="84" spans="2:26" x14ac:dyDescent="0.2">
      <c r="W84" s="34"/>
    </row>
  </sheetData>
  <mergeCells count="9">
    <mergeCell ref="D80:T80"/>
    <mergeCell ref="D71:T74"/>
    <mergeCell ref="D76:T76"/>
    <mergeCell ref="E2:I2"/>
    <mergeCell ref="K2:X2"/>
    <mergeCell ref="G63:Q63"/>
    <mergeCell ref="D77:T77"/>
    <mergeCell ref="D78:T78"/>
    <mergeCell ref="D79:T79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E2:E6"/>
  </dataValidations>
  <hyperlinks>
    <hyperlink ref="D79" r:id="rId1"/>
  </hyperlinks>
  <printOptions horizontalCentered="1" verticalCentered="1"/>
  <pageMargins left="0" right="0" top="0" bottom="0" header="0" footer="0"/>
  <pageSetup paperSize="9" scale="73"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33877D-E352-45BC-B88C-21433FD76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Годичный календарь</vt:lpstr>
      <vt:lpstr>CalendarYear</vt:lpstr>
      <vt:lpstr>'Годичный календарь'!Область_печати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2013-12-16T15:19:47Z</dcterms:created>
  <dcterms:modified xsi:type="dcterms:W3CDTF">2016-05-05T06:28:16Z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TC025512329991</vt:lpwstr>
  </property>
</Properties>
</file>